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05" windowWidth="15360" windowHeight="8430" tabRatio="676" activeTab="2"/>
  </bookViews>
  <sheets>
    <sheet name="Terms of Use" sheetId="1" r:id="rId1"/>
    <sheet name="INDEX" sheetId="2" r:id="rId2"/>
    <sheet name="TEACHER COST" sheetId="3" r:id="rId3"/>
    <sheet name="MANUAL COST" sheetId="4" r:id="rId4"/>
    <sheet name="APTC COST" sheetId="5" r:id="rId5"/>
    <sheet name="Overtime Rates" sheetId="6" r:id="rId6"/>
    <sheet name="Teachers Statement" sheetId="7" r:id="rId7"/>
    <sheet name="Manual Statement" sheetId="8" r:id="rId8"/>
    <sheet name="APTC Statement" sheetId="9" r:id="rId9"/>
    <sheet name="Statement Support" sheetId="10" r:id="rId10"/>
    <sheet name="Salary Scales" sheetId="11" r:id="rId11"/>
  </sheets>
  <definedNames>
    <definedName name="BUDGETSHARE">#REF!</definedName>
    <definedName name="CAPITATION">#REF!</definedName>
    <definedName name="PAPT&amp;C">'APTC COST'!$B$4:$V$20</definedName>
    <definedName name="PMANUAL">'MANUAL COST'!$B$4:$V$16</definedName>
    <definedName name="_xlnm.Print_Area" localSheetId="4">'APTC COST'!$A$2:$W$48</definedName>
    <definedName name="_xlnm.Print_Area" localSheetId="8">'APTC Statement'!$A$2:$O$55</definedName>
    <definedName name="_xlnm.Print_Area" localSheetId="3">'MANUAL COST'!$A$2:$W$48</definedName>
    <definedName name="_xlnm.Print_Area" localSheetId="7">'Manual Statement'!$A$2:$O$55</definedName>
    <definedName name="_xlnm.Print_Area" localSheetId="5">'Overtime Rates'!$B$2:$L$29</definedName>
    <definedName name="_xlnm.Print_Area" localSheetId="10">'Salary Scales'!$A$10:$AF$161</definedName>
    <definedName name="_xlnm.Print_Area" localSheetId="9">'Statement Support'!$A$2:$Q$19</definedName>
    <definedName name="_xlnm.Print_Area" localSheetId="2">'TEACHER COST'!$A$2:$T$21</definedName>
    <definedName name="_xlnm.Print_Area" localSheetId="6">'Teachers Statement'!$A$2:$O$55</definedName>
    <definedName name="_xlnm.Print_Area" localSheetId="0">'Terms of Use'!$B$1:$N$53</definedName>
    <definedName name="PTEACHERS">'TEACHER COST'!$A$4:$T$20</definedName>
    <definedName name="SUMMARY">#REF!</definedName>
  </definedNames>
  <calcPr fullCalcOnLoad="1"/>
</workbook>
</file>

<file path=xl/comments1.xml><?xml version="1.0" encoding="utf-8"?>
<comments xmlns="http://schemas.openxmlformats.org/spreadsheetml/2006/main">
  <authors>
    <author>Steve Llewellyn</author>
  </authors>
  <commentList>
    <comment ref="H31" authorId="0">
      <text>
        <r>
          <rPr>
            <b/>
            <u val="single"/>
            <sz val="10"/>
            <color indexed="10"/>
            <rFont val="Arial"/>
            <family val="2"/>
          </rPr>
          <t>CLICK HERE FOR SCHOOL LIST</t>
        </r>
        <r>
          <rPr>
            <sz val="10"/>
            <color indexed="10"/>
            <rFont val="Arial"/>
            <family val="2"/>
          </rPr>
          <t xml:space="preserve">
</t>
        </r>
        <r>
          <rPr>
            <sz val="12"/>
            <color indexed="10"/>
            <rFont val="Arial"/>
            <family val="2"/>
          </rPr>
          <t xml:space="preserve">
Select your school from the list to validate this budget plan.</t>
        </r>
      </text>
    </comment>
  </commentList>
</comments>
</file>

<file path=xl/comments11.xml><?xml version="1.0" encoding="utf-8"?>
<comments xmlns="http://schemas.openxmlformats.org/spreadsheetml/2006/main">
  <authors>
    <author>Pre-Install User</author>
  </authors>
  <commentList>
    <comment ref="Y15" authorId="0">
      <text>
        <r>
          <rPr>
            <b/>
            <sz val="12"/>
            <color indexed="10"/>
            <rFont val="Tahoma"/>
            <family val="2"/>
          </rPr>
          <t>CLICK HERE</t>
        </r>
      </text>
    </comment>
    <comment ref="AB16" authorId="0">
      <text>
        <r>
          <rPr>
            <b/>
            <sz val="12"/>
            <color indexed="10"/>
            <rFont val="Tahoma"/>
            <family val="2"/>
          </rPr>
          <t>CLICK HERE</t>
        </r>
      </text>
    </comment>
    <comment ref="AE16" authorId="0">
      <text>
        <r>
          <rPr>
            <b/>
            <sz val="12"/>
            <color indexed="10"/>
            <rFont val="Tahoma"/>
            <family val="2"/>
          </rPr>
          <t>CLICK HERE</t>
        </r>
      </text>
    </comment>
    <comment ref="AH16" authorId="0">
      <text>
        <r>
          <rPr>
            <b/>
            <sz val="12"/>
            <color indexed="10"/>
            <rFont val="Tahoma"/>
            <family val="2"/>
          </rPr>
          <t>CLICK HERE</t>
        </r>
      </text>
    </comment>
    <comment ref="V25" authorId="0">
      <text>
        <r>
          <rPr>
            <b/>
            <sz val="12"/>
            <color indexed="10"/>
            <rFont val="Tahoma"/>
            <family val="2"/>
          </rPr>
          <t>CLICK HERE</t>
        </r>
      </text>
    </comment>
    <comment ref="X71" authorId="0">
      <text>
        <r>
          <rPr>
            <b/>
            <sz val="12"/>
            <color indexed="10"/>
            <rFont val="Tahoma"/>
            <family val="2"/>
          </rPr>
          <t>CLICK HERE</t>
        </r>
      </text>
    </comment>
    <comment ref="D27" authorId="0">
      <text>
        <r>
          <rPr>
            <b/>
            <sz val="12"/>
            <color indexed="10"/>
            <rFont val="Tahoma"/>
            <family val="2"/>
          </rPr>
          <t>CLICK HERE</t>
        </r>
      </text>
    </comment>
    <comment ref="G18" authorId="0">
      <text>
        <r>
          <rPr>
            <b/>
            <sz val="12"/>
            <color indexed="10"/>
            <rFont val="Tahoma"/>
            <family val="2"/>
          </rPr>
          <t>CLICK HERE</t>
        </r>
      </text>
    </comment>
    <comment ref="J17" authorId="0">
      <text>
        <r>
          <rPr>
            <b/>
            <sz val="12"/>
            <color indexed="10"/>
            <rFont val="Tahoma"/>
            <family val="2"/>
          </rPr>
          <t>CLICK HERE</t>
        </r>
      </text>
    </comment>
    <comment ref="M17" authorId="0">
      <text>
        <r>
          <rPr>
            <b/>
            <sz val="12"/>
            <color indexed="10"/>
            <rFont val="Tahoma"/>
            <family val="2"/>
          </rPr>
          <t>CLICK HERE</t>
        </r>
      </text>
    </comment>
    <comment ref="G71" authorId="0">
      <text>
        <r>
          <rPr>
            <b/>
            <sz val="12"/>
            <color indexed="10"/>
            <rFont val="Tahoma"/>
            <family val="2"/>
          </rPr>
          <t>CLICK HERE</t>
        </r>
      </text>
    </comment>
    <comment ref="P16" authorId="0">
      <text>
        <r>
          <rPr>
            <b/>
            <sz val="12"/>
            <color indexed="10"/>
            <rFont val="Tahoma"/>
            <family val="2"/>
          </rPr>
          <t>CLICK HERE</t>
        </r>
      </text>
    </comment>
  </commentList>
</comments>
</file>

<file path=xl/comments4.xml><?xml version="1.0" encoding="utf-8"?>
<comments xmlns="http://schemas.openxmlformats.org/spreadsheetml/2006/main">
  <authors>
    <author>Education Department</author>
  </authors>
  <commentList>
    <comment ref="H15" authorId="0">
      <text>
        <r>
          <rPr>
            <b/>
            <sz val="10"/>
            <rFont val="Tahoma"/>
            <family val="0"/>
          </rPr>
          <t>See notes below right for calculation of SMSA holiday WEEKS payable.</t>
        </r>
      </text>
    </comment>
  </commentList>
</comments>
</file>

<file path=xl/comments6.xml><?xml version="1.0" encoding="utf-8"?>
<comments xmlns="http://schemas.openxmlformats.org/spreadsheetml/2006/main">
  <authors>
    <author>Education Department</author>
  </authors>
  <commentList>
    <comment ref="E17" authorId="0">
      <text>
        <r>
          <rPr>
            <b/>
            <sz val="12"/>
            <rFont val="Tahoma"/>
            <family val="2"/>
          </rPr>
          <t>Enter the salary point payable for a cleaner here.</t>
        </r>
      </text>
    </comment>
    <comment ref="E15" authorId="0">
      <text>
        <r>
          <rPr>
            <b/>
            <sz val="12"/>
            <rFont val="Tahoma"/>
            <family val="2"/>
          </rPr>
          <t>Enter the salary point payable for a caretaker  here.</t>
        </r>
      </text>
    </comment>
    <comment ref="I15" authorId="0">
      <text>
        <r>
          <rPr>
            <b/>
            <sz val="12"/>
            <rFont val="Tahoma"/>
            <family val="2"/>
          </rPr>
          <t>Enter the On-Cost % here.</t>
        </r>
      </text>
    </comment>
    <comment ref="I17" authorId="0">
      <text>
        <r>
          <rPr>
            <b/>
            <sz val="12"/>
            <rFont val="Tahoma"/>
            <family val="2"/>
          </rPr>
          <t>Enter the On-Cost % here.</t>
        </r>
      </text>
    </comment>
  </commentList>
</comments>
</file>

<file path=xl/sharedStrings.xml><?xml version="1.0" encoding="utf-8"?>
<sst xmlns="http://schemas.openxmlformats.org/spreadsheetml/2006/main" count="809" uniqueCount="331">
  <si>
    <t xml:space="preserve"> File Ref:</t>
  </si>
  <si>
    <t xml:space="preserve">SCHOOL: </t>
  </si>
  <si>
    <t>Spinal</t>
  </si>
  <si>
    <t>On-Cost</t>
  </si>
  <si>
    <t>Basic</t>
  </si>
  <si>
    <t>FTE.</t>
  </si>
  <si>
    <t>Point</t>
  </si>
  <si>
    <t>percentage</t>
  </si>
  <si>
    <t>Annual</t>
  </si>
  <si>
    <t>TOTAL</t>
  </si>
  <si>
    <t>amount</t>
  </si>
  <si>
    <t>Salary</t>
  </si>
  <si>
    <t>ACTUAL</t>
  </si>
  <si>
    <t>Headteacher</t>
  </si>
  <si>
    <t>Hours</t>
  </si>
  <si>
    <t>Weeks</t>
  </si>
  <si>
    <t>%</t>
  </si>
  <si>
    <t>Total</t>
  </si>
  <si>
    <t>per</t>
  </si>
  <si>
    <t>Hourly</t>
  </si>
  <si>
    <t>Amount</t>
  </si>
  <si>
    <t>Week</t>
  </si>
  <si>
    <t>Annum</t>
  </si>
  <si>
    <t>Rate</t>
  </si>
  <si>
    <t>Cleaner</t>
  </si>
  <si>
    <t>SMSA</t>
  </si>
  <si>
    <t xml:space="preserve">  File Ref: </t>
  </si>
  <si>
    <t>Admin.</t>
  </si>
  <si>
    <t>Hrs.</t>
  </si>
  <si>
    <t>Wks.</t>
  </si>
  <si>
    <t>S.E.N.</t>
  </si>
  <si>
    <t>Addtnl.</t>
  </si>
  <si>
    <t>Allow.</t>
  </si>
  <si>
    <t>Welfare</t>
  </si>
  <si>
    <t xml:space="preserve"> (enter figure)</t>
  </si>
  <si>
    <t>Answer:</t>
  </si>
  <si>
    <t>f.t.e.</t>
  </si>
  <si>
    <t>Hours per week for a year</t>
  </si>
  <si>
    <t>Allowance</t>
  </si>
  <si>
    <t xml:space="preserve">  Rates</t>
  </si>
  <si>
    <t xml:space="preserve"> From ...</t>
  </si>
  <si>
    <t xml:space="preserve"> From …</t>
  </si>
  <si>
    <t xml:space="preserve">  Effective</t>
  </si>
  <si>
    <t>Teachers'</t>
  </si>
  <si>
    <t xml:space="preserve">  From ....</t>
  </si>
  <si>
    <t>Scales</t>
  </si>
  <si>
    <t xml:space="preserve"> From ....</t>
  </si>
  <si>
    <t>TEACHERS</t>
  </si>
  <si>
    <t>ALLOWANCE:</t>
  </si>
  <si>
    <t>w.e.f.</t>
  </si>
  <si>
    <t xml:space="preserve">  APT&amp;C  SALARY  SCALE</t>
  </si>
  <si>
    <t xml:space="preserve"> From:- </t>
  </si>
  <si>
    <t>Sc.1</t>
  </si>
  <si>
    <t>W.A.s</t>
  </si>
  <si>
    <t>Sc.2</t>
  </si>
  <si>
    <t>SPECIAL NEEDS</t>
  </si>
  <si>
    <t>SPECIAL</t>
  </si>
  <si>
    <t>NEEDS</t>
  </si>
  <si>
    <t>Sc.3</t>
  </si>
  <si>
    <t>ALLOWANCE</t>
  </si>
  <si>
    <t>Sc.4</t>
  </si>
  <si>
    <t>Sc.5</t>
  </si>
  <si>
    <t>LONDON</t>
  </si>
  <si>
    <t>Sc.6</t>
  </si>
  <si>
    <t>SO1</t>
  </si>
  <si>
    <t>SO2</t>
  </si>
  <si>
    <t xml:space="preserve">  FORMER MANUAL STAFF HOURLY RATES:</t>
  </si>
  <si>
    <t xml:space="preserve"> Hourly Rates-</t>
  </si>
  <si>
    <t>From ...</t>
  </si>
  <si>
    <t xml:space="preserve">(Manual </t>
  </si>
  <si>
    <t xml:space="preserve"> Grades)</t>
  </si>
  <si>
    <t xml:space="preserve"> per hour</t>
  </si>
  <si>
    <t>Misc.</t>
  </si>
  <si>
    <t>Payments</t>
  </si>
  <si>
    <t>F.T.E.</t>
  </si>
  <si>
    <t>Class Asst.</t>
  </si>
  <si>
    <t>Whilst every effort has been made to protect against accidental damage to the standard document</t>
  </si>
  <si>
    <t xml:space="preserve">NOTE: </t>
  </si>
  <si>
    <t>This site licence enables multiple users on the purchasers premises and portable P.C.'s only.</t>
  </si>
  <si>
    <t>Teachers:</t>
  </si>
  <si>
    <t>This document has been sold under licence to</t>
  </si>
  <si>
    <t>and is subject to the terms of use stated above.</t>
  </si>
  <si>
    <t>n/a</t>
  </si>
  <si>
    <t>Payable</t>
  </si>
  <si>
    <t>Flat-Rate</t>
  </si>
  <si>
    <t>A.S.T.?</t>
  </si>
  <si>
    <t>Yes = 1</t>
  </si>
  <si>
    <t>No = 0</t>
  </si>
  <si>
    <t>Advanced Skills</t>
  </si>
  <si>
    <t>(A.S.T.)</t>
  </si>
  <si>
    <t xml:space="preserve">  The  non-teaching increase has been</t>
  </si>
  <si>
    <t xml:space="preserve">  based on:</t>
  </si>
  <si>
    <t xml:space="preserve">  NON TEACHING STAFF SALARY DATA:</t>
  </si>
  <si>
    <t>per week</t>
  </si>
  <si>
    <t>Caretaker/Cleaners/Lunchtime Supervisory Staff:</t>
  </si>
  <si>
    <t>Welfare/Classroom/Nursery Staff:</t>
  </si>
  <si>
    <t>Enter the weekly full time hours for each staff category below:</t>
  </si>
  <si>
    <t>Nursery Nurse</t>
  </si>
  <si>
    <t>MAKE CHANGES TO THE SALARY VALUES IN THE BLUE</t>
  </si>
  <si>
    <t>SHADED AREAS ON THIS SIDE OF THE RED LINE ONLY.</t>
  </si>
  <si>
    <t>Teachers' Scales</t>
  </si>
  <si>
    <t xml:space="preserve">has been based on: </t>
  </si>
  <si>
    <t xml:space="preserve">The  teachers increase  </t>
  </si>
  <si>
    <t>Upper Pay Spine</t>
  </si>
  <si>
    <t>U.P.S.?</t>
  </si>
  <si>
    <t>(U.P.S.)</t>
  </si>
  <si>
    <r>
      <t xml:space="preserve">How much </t>
    </r>
    <r>
      <rPr>
        <b/>
        <u val="single"/>
        <sz val="14"/>
        <rFont val="Arial"/>
        <family val="2"/>
      </rPr>
      <t>Teaching</t>
    </r>
    <r>
      <rPr>
        <sz val="14"/>
        <rFont val="Arial"/>
        <family val="2"/>
      </rPr>
      <t xml:space="preserve"> support can I buy with:</t>
    </r>
  </si>
  <si>
    <t>Leadership Pay Spine</t>
  </si>
  <si>
    <t>L. Allow.</t>
  </si>
  <si>
    <t xml:space="preserve">  APT&amp;C</t>
  </si>
  <si>
    <t>APT&amp;C</t>
  </si>
  <si>
    <t xml:space="preserve">  SALARY DATA:</t>
  </si>
  <si>
    <t xml:space="preserve">  TEACHING STAFF</t>
  </si>
  <si>
    <t>London All.</t>
  </si>
  <si>
    <t>London</t>
  </si>
  <si>
    <t>This document and the material herein is solely for the non commercial use of the organisation purchasing</t>
  </si>
  <si>
    <t>set-up during everyday use, we cannot accept responsibility for loss of any document content incurred</t>
  </si>
  <si>
    <t>as a result of changes made by any user.</t>
  </si>
  <si>
    <t>with any other organisation without the prior written permission of an authorised representative of</t>
  </si>
  <si>
    <t>Part of the 'Counting Sense' series</t>
  </si>
  <si>
    <t>Enter Organisation Name Here</t>
  </si>
  <si>
    <t>APT&amp;C STAFF SALARY CALCULATOR</t>
  </si>
  <si>
    <t>Admin./Technician Staff:</t>
  </si>
  <si>
    <t>Classroom Asst.</t>
  </si>
  <si>
    <t>Welfare Asst.</t>
  </si>
  <si>
    <t>annual</t>
  </si>
  <si>
    <t>hours</t>
  </si>
  <si>
    <t>payable</t>
  </si>
  <si>
    <t>Annual Staff Costs</t>
  </si>
  <si>
    <t>Payable?</t>
  </si>
  <si>
    <t>SEN</t>
  </si>
  <si>
    <t>N. Nurse</t>
  </si>
  <si>
    <t>Holiday</t>
  </si>
  <si>
    <t>Technicians</t>
  </si>
  <si>
    <t>Outer</t>
  </si>
  <si>
    <t>Incl.</t>
  </si>
  <si>
    <t>Admin. Staff</t>
  </si>
  <si>
    <t>STATEMENT FUNDING - QUICK COSTING</t>
  </si>
  <si>
    <t>Hours per week</t>
  </si>
  <si>
    <t>MANUAL STAFF SALARY CALCULATOR</t>
  </si>
  <si>
    <t>Caretaker</t>
  </si>
  <si>
    <t>Weekly</t>
  </si>
  <si>
    <t>Bonus</t>
  </si>
  <si>
    <t>Incl. On-Cost</t>
  </si>
  <si>
    <t>Leadership Teacher</t>
  </si>
  <si>
    <t>ANNUAL STAFF COSTS</t>
  </si>
  <si>
    <t>(Incl. On-Cost)</t>
  </si>
  <si>
    <t>TEACHING STAFF SALARY CALCULATOR</t>
  </si>
  <si>
    <t>direct from EXCEL'ED.  No part of the document may be copied, broadcast or shared</t>
  </si>
  <si>
    <t>EXCEL'ED.</t>
  </si>
  <si>
    <t>Retaining</t>
  </si>
  <si>
    <t>Fee</t>
  </si>
  <si>
    <t>Retainer</t>
  </si>
  <si>
    <t>OVERTIME HOURLY RATE CALCULATOR</t>
  </si>
  <si>
    <t>Monday to</t>
  </si>
  <si>
    <t>Up to 8.00 p.m.</t>
  </si>
  <si>
    <t>After 8.00 p.m.</t>
  </si>
  <si>
    <t>Saturday</t>
  </si>
  <si>
    <t>OVERTIME HOURLY RATES PAYABLE BASED ON DAYS &amp; TIMES WORKED</t>
  </si>
  <si>
    <t>Sunday</t>
  </si>
  <si>
    <t>(All Day)</t>
  </si>
  <si>
    <t>Rate Payable</t>
  </si>
  <si>
    <t>OVERTIME HOURLY RATES PAYABLE INCLUDING ON-COSTS</t>
  </si>
  <si>
    <t>NOTES</t>
  </si>
  <si>
    <t>Salary *</t>
  </si>
  <si>
    <t>Mobile: 07881 956993</t>
  </si>
  <si>
    <t>Copyright © 2001 EXCEL'ED.  All rights reserved.  Terms of use apply.</t>
  </si>
  <si>
    <t>Temp. Hourly</t>
  </si>
  <si>
    <t>Relief Hourly</t>
  </si>
  <si>
    <t>01633 893218</t>
  </si>
  <si>
    <t>(Subject to annual subscription.  Line open between 9.30 a.m. &amp; 4.30 p.m.)</t>
  </si>
  <si>
    <t>BONUS PAYMENT</t>
  </si>
  <si>
    <t>HOURLY RATES</t>
  </si>
  <si>
    <t>From</t>
  </si>
  <si>
    <t>N/A</t>
  </si>
  <si>
    <t>Management Allowncs.</t>
  </si>
  <si>
    <t>General Teaching</t>
  </si>
  <si>
    <t>Council subscription</t>
  </si>
  <si>
    <t>Recruit/Retentn. Allows.</t>
  </si>
  <si>
    <t>(This is costed into</t>
  </si>
  <si>
    <t>April only as a</t>
  </si>
  <si>
    <t>0ne-off allowance.)</t>
  </si>
  <si>
    <t>SEN Allowances</t>
  </si>
  <si>
    <t>GO TO INDEX</t>
  </si>
  <si>
    <t>INCLUDED IN SALARY</t>
  </si>
  <si>
    <t>Unqualified Pay Spine</t>
  </si>
  <si>
    <t>Qualified Teacher</t>
  </si>
  <si>
    <t>Unqualified Teacher</t>
  </si>
  <si>
    <t>Hourly Rate Payable</t>
  </si>
  <si>
    <t>Hourly Rate (Incl. On-Costs)</t>
  </si>
  <si>
    <t>VALUES COLUMN 2004/05</t>
  </si>
  <si>
    <t>2005/2006</t>
  </si>
  <si>
    <t>Terms of Use - 2005/2006</t>
  </si>
  <si>
    <t>Allow./</t>
  </si>
  <si>
    <t>Protection</t>
  </si>
  <si>
    <t xml:space="preserve">  X  hours per week  (Less than 5 years service, up to SCP 21)</t>
  </si>
  <si>
    <t xml:space="preserve">  X  hours per week  (Less than 5 years service, SCP 22 to 28)</t>
  </si>
  <si>
    <t xml:space="preserve">  X  hours per week  (Less than 5 years service, SCP 29 to 41)</t>
  </si>
  <si>
    <t xml:space="preserve">  X  hours per week  (Less than 5 years service, SCP 42 to 58)</t>
  </si>
  <si>
    <t xml:space="preserve">  X  hours per week  (5 - 10 years service, up to SCP 41)</t>
  </si>
  <si>
    <t xml:space="preserve">  X  hours per week  (5 - 10 years service, SCP 42 to 58)</t>
  </si>
  <si>
    <t xml:space="preserve">  X  hours per week  (Over 10 years service, up to SCP 41)</t>
  </si>
  <si>
    <t xml:space="preserve">  X  hours per week  (Over 10 years service, SCP 42 to 58)</t>
  </si>
  <si>
    <t>Hidden</t>
  </si>
  <si>
    <t>Learning Support</t>
  </si>
  <si>
    <t>Welfare Staff</t>
  </si>
  <si>
    <t>2005/2006 STAFF SALARY CALCULATOR</t>
  </si>
  <si>
    <t xml:space="preserve">  Other amount</t>
  </si>
  <si>
    <t>Incl. in rates</t>
  </si>
  <si>
    <t>Weeks payable for more than 5 years service</t>
  </si>
  <si>
    <t>INCLUDED IN SALARY VALUES</t>
  </si>
  <si>
    <t>COLUMN FROM 2003/04</t>
  </si>
  <si>
    <t>Weeks payable for less than 5 years service</t>
  </si>
  <si>
    <r>
      <t xml:space="preserve">A </t>
    </r>
    <r>
      <rPr>
        <b/>
        <sz val="12"/>
        <color indexed="18"/>
        <rFont val="Arial"/>
        <family val="2"/>
      </rPr>
      <t>support line service</t>
    </r>
    <r>
      <rPr>
        <sz val="12"/>
        <color indexed="18"/>
        <rFont val="Arial"/>
        <family val="2"/>
      </rPr>
      <t xml:space="preserve"> is available for queries, advice and guidance on:</t>
    </r>
  </si>
  <si>
    <r>
      <t xml:space="preserve">How much </t>
    </r>
    <r>
      <rPr>
        <b/>
        <u val="single"/>
        <sz val="14"/>
        <rFont val="Arial"/>
        <family val="2"/>
      </rPr>
      <t xml:space="preserve"> Teaching Assistant</t>
    </r>
    <r>
      <rPr>
        <sz val="14"/>
        <rFont val="Arial"/>
        <family val="2"/>
      </rPr>
      <t xml:space="preserve"> support can I buy with:</t>
    </r>
  </si>
  <si>
    <t>+ 22.5% on-cost for teaching assistants.</t>
  </si>
  <si>
    <t>and pt 21 of the non-teaching scales + SEN allowance</t>
  </si>
  <si>
    <t>The above are estimates based on MPS 6</t>
  </si>
  <si>
    <t>+ 1 SEN point + 22.5% on-cost for teachers,</t>
  </si>
  <si>
    <t>Post Title:</t>
  </si>
  <si>
    <t xml:space="preserve">SUPPORT STAFF SALARY STATEMENT EFFECTIVE FROM:  </t>
  </si>
  <si>
    <t>LONDON BOROUGH OF RICHMOND UPON THAMES</t>
  </si>
  <si>
    <t>Name:</t>
  </si>
  <si>
    <t>Spinal Point:</t>
  </si>
  <si>
    <t>Hours per week:</t>
  </si>
  <si>
    <t>Weeks per annum:</t>
  </si>
  <si>
    <t>Holiday weeks payable:</t>
  </si>
  <si>
    <t>Additional allowances:</t>
  </si>
  <si>
    <t>F.T.E.:</t>
  </si>
  <si>
    <t>Notes:</t>
  </si>
  <si>
    <t xml:space="preserve">Prepared By: </t>
  </si>
  <si>
    <t xml:space="preserve">Agreed by: </t>
  </si>
  <si>
    <t xml:space="preserve">Printed on: </t>
  </si>
  <si>
    <t xml:space="preserve">On behalf of the Governing Body of </t>
  </si>
  <si>
    <t>Salary includes London Allowance (if applicable) and any other agreed allowances which are explained below.</t>
  </si>
  <si>
    <t xml:space="preserve">Holiday weeks payable are based on </t>
  </si>
  <si>
    <t>ANNUAL SALARY:</t>
  </si>
  <si>
    <t>S.E.N. ALLOWANCE:</t>
  </si>
  <si>
    <t xml:space="preserve">  (Incl. London Allowance where applicable):</t>
  </si>
  <si>
    <t>OTHER ADDITIONAL ALLOWANCES:</t>
  </si>
  <si>
    <t>TOTAL SALARY:</t>
  </si>
  <si>
    <t xml:space="preserve">  (Where applicable)</t>
  </si>
  <si>
    <t>TOTAL ANNUAL SALARY PAYABLE FOR THIS POST BASED ON THE DETAILS ABOVE AS FOLLOWS:</t>
  </si>
  <si>
    <t>USER GUIDE</t>
  </si>
  <si>
    <t>INDEX</t>
  </si>
  <si>
    <t>RETAINING PAYMENT</t>
  </si>
  <si>
    <t xml:space="preserve">MANUAL STAFF SALARY STATEMENT EFFECTIVE FROM:  </t>
  </si>
  <si>
    <t xml:space="preserve">TEACHING STAFF SALARY STATEMENT EFFECTIVE FROM:  </t>
  </si>
  <si>
    <t>Main</t>
  </si>
  <si>
    <t>Scale</t>
  </si>
  <si>
    <t>Pay</t>
  </si>
  <si>
    <t xml:space="preserve">Salary Range: </t>
  </si>
  <si>
    <t>MAIN SCALE</t>
  </si>
  <si>
    <t>UNQUALIFIED SCALE</t>
  </si>
  <si>
    <t>U.P.S. SCALE</t>
  </si>
  <si>
    <t>A.S.T. SCALE</t>
  </si>
  <si>
    <t>LEADERSHIP SCALE</t>
  </si>
  <si>
    <t>FLAT RATE ALLOWANCES:</t>
  </si>
  <si>
    <t>COST TEACHING STAFF SALARY</t>
  </si>
  <si>
    <t>COST MANUAL STAFF SALARY</t>
  </si>
  <si>
    <t>COST APTC STAFF SALARY</t>
  </si>
  <si>
    <t>TO TEACHERS STATEMENT</t>
  </si>
  <si>
    <t>TO MANUAL STATEMENT</t>
  </si>
  <si>
    <t>TO APTC STATEMENT</t>
  </si>
  <si>
    <t>Deputy Headteacher</t>
  </si>
  <si>
    <t>CLICK THE REQUIRED PAGE TITLE BELOW TO GO STRAIGHT THERE</t>
  </si>
  <si>
    <t>Quick Costing - Statement Support Staff</t>
  </si>
  <si>
    <t>Teachers Salary Calculation Sheet</t>
  </si>
  <si>
    <t>Manual Staff Salary Calculation Sheet</t>
  </si>
  <si>
    <t>APTC Staff Salary Calculation Sheet</t>
  </si>
  <si>
    <t>SALARY STATEMENT SHEETS</t>
  </si>
  <si>
    <t>Teachers Salary Statement Sheet</t>
  </si>
  <si>
    <t>Manual Staff Salary Statement Sheet</t>
  </si>
  <si>
    <t>APTC Staff Salary Statement Sheet</t>
  </si>
  <si>
    <t>Manual Staff Overtime Rates Sheet</t>
  </si>
  <si>
    <t>List of Salary Scales &amp; Values</t>
  </si>
  <si>
    <t>Terms of Use Sheet</t>
  </si>
  <si>
    <t>UG 2                       - Terms of Use</t>
  </si>
  <si>
    <t>UG 2                       - Navigation</t>
  </si>
  <si>
    <t>UG 5                       - Salary Scales Sheet Diagram</t>
  </si>
  <si>
    <t>UG 14             - Statement Support Costing Sheet</t>
  </si>
  <si>
    <t>UG 15             - Salary Statements</t>
  </si>
  <si>
    <t>UG 16             - Printing Sheets</t>
  </si>
  <si>
    <t>STAFF SALARY COSTING SHEETS</t>
  </si>
  <si>
    <t>User Guide 1         - Introduction &amp; Flowchart</t>
  </si>
  <si>
    <t>UG 2                       - Flowchart Explained</t>
  </si>
  <si>
    <t>UG 3                       - Salary Scales Sheet</t>
  </si>
  <si>
    <t>UG 6                       - Teachers Salary Costing Sheet</t>
  </si>
  <si>
    <t>UG 8               - Manual Staff Salary Costing Sheet</t>
  </si>
  <si>
    <t>UG 10             - APTC Staff Salary Costing Sheet</t>
  </si>
  <si>
    <t>UG 12             - Overtime Rates - Manual Staff</t>
  </si>
  <si>
    <t>ST JAMES'S R/C PRIMARY SCHOOL</t>
  </si>
  <si>
    <t xml:space="preserve">EXCEL'ED, 1 Jasmine Close, Rogerstone, Newport, South Wales. NP10 9JH. </t>
  </si>
  <si>
    <t>E-mail:</t>
  </si>
  <si>
    <t>SELECT SCHOOL NAME FROM LIST</t>
  </si>
  <si>
    <t>ARCHDEACON CAMBRIDGE'S C/E PRIMARY SCHOOL</t>
  </si>
  <si>
    <t>BUCKINGHAM PRIMARY SCHOOL</t>
  </si>
  <si>
    <t>BUCKINGHAM PRIMARY SCHOOL UNIT</t>
  </si>
  <si>
    <t>CHASE BRIDGE PRIMARY SCHOOL</t>
  </si>
  <si>
    <t>CLARENDON SCHOOL</t>
  </si>
  <si>
    <t>CLARENDON SCHOOL - OLDFIELD HOUSE UNIT</t>
  </si>
  <si>
    <t>COLLIS PRIMARY SCHOOL</t>
  </si>
  <si>
    <t>HAMPTON JUNIOR SCHOOL</t>
  </si>
  <si>
    <t>HEATHFIELD JUNIOR SCHOOL</t>
  </si>
  <si>
    <t>HEATHFIELD JUNIOR SCHOOL LANGUAGE UNIT</t>
  </si>
  <si>
    <t>HOLY TRINITY C/E PRIMARY SCHOOL</t>
  </si>
  <si>
    <t>KEW RIVERSIDE PRIMARY SCHOOL</t>
  </si>
  <si>
    <t>MEADLANDS PRIMARY SCHOOL</t>
  </si>
  <si>
    <t>NELSON PRIMARY SCHOOL</t>
  </si>
  <si>
    <t>ORLEANS INFANT SCHOOL</t>
  </si>
  <si>
    <t>SHEEN MOUNT PRIMARY SCHOOL</t>
  </si>
  <si>
    <t>ST EDMUND'S R/C PRIMARY SCHOOL</t>
  </si>
  <si>
    <t>ST ELIZABETH'S CATHOLIC PRIMARY SCHOOL</t>
  </si>
  <si>
    <t>ST MARY'S &amp; ST PETER'S C/E PRIMARY SCHOOL</t>
  </si>
  <si>
    <t>STANLEY INFANT SCHOOL</t>
  </si>
  <si>
    <t>STANLEY INFANT SCHOOL UNIT</t>
  </si>
  <si>
    <t>STANLEY JUNIOR SCHOOL</t>
  </si>
  <si>
    <t>THE QUEEN'S C/E PRIMARY SCHOOL</t>
  </si>
  <si>
    <t>WHITTON SCHOOL</t>
  </si>
  <si>
    <t>ANNUAL AMOUNT</t>
  </si>
  <si>
    <t>USED FOR OVERTIME</t>
  </si>
  <si>
    <t>PURPOSES</t>
  </si>
  <si>
    <t>Version 5.2</t>
  </si>
  <si>
    <t>HAMPTON INFANTS SCHOOL</t>
  </si>
  <si>
    <t>TRAFALGAR INFANTS SCHOOL</t>
  </si>
  <si>
    <t>ZARINE PEGLER</t>
  </si>
  <si>
    <t>INSERT NAME</t>
  </si>
  <si>
    <t>DARELL PRIMARY SCHOOL</t>
  </si>
  <si>
    <t>WINDHAM NURSERY SCHOOL</t>
  </si>
  <si>
    <t>BARNES PRIMARY SCHOOL</t>
  </si>
  <si>
    <t>steve@exceled.co.uk</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</si>
</sst>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0.0\)"/>
    <numFmt numFmtId="173" formatCode="0.0"/>
    <numFmt numFmtId="174" formatCode="mm/dd/yy"/>
    <numFmt numFmtId="175" formatCode="0.000"/>
    <numFmt numFmtId="176" formatCode="#,##0.0"/>
    <numFmt numFmtId="177" formatCode="00000"/>
    <numFmt numFmtId="178" formatCode="_-&quot;£&quot;* #,##0.0_-;\-&quot;£&quot;* #,##0.0_-;_-&quot;£&quot;* &quot;-&quot;?_-;_-@_-"/>
    <numFmt numFmtId="179" formatCode="#,##0.00_ ;\-#,##0.00\ "/>
    <numFmt numFmtId="180" formatCode="&quot;£&quot;#,##0.00"/>
    <numFmt numFmtId="181" formatCode="#,##0.00_ ;[Red]\-#,##0.00\ "/>
    <numFmt numFmtId="182" formatCode="#,##0.00;[Red]#,##0.00"/>
    <numFmt numFmtId="183" formatCode="0.00_ ;[Red]\-0.00\ "/>
    <numFmt numFmtId="184" formatCode=";;;"/>
    <numFmt numFmtId="185" formatCode="0;\-0;;@"/>
    <numFmt numFmtId="186" formatCode="&quot;£&quot;#,##0"/>
    <numFmt numFmtId="187" formatCode="0.0000000000"/>
    <numFmt numFmtId="188" formatCode="0.0000000"/>
    <numFmt numFmtId="189" formatCode="#,##0.0000"/>
    <numFmt numFmtId="190" formatCode="d\-mmm\-yyyy"/>
    <numFmt numFmtId="191" formatCode="&quot;Yes&quot;;&quot;Yes&quot;;&quot;No&quot;"/>
    <numFmt numFmtId="192" formatCode="&quot;True&quot;;&quot;True&quot;;&quot;False&quot;"/>
    <numFmt numFmtId="193" formatCode="&quot;On&quot;;&quot;On&quot;;&quot;Off&quot;"/>
    <numFmt numFmtId="194" formatCode="[$€-2]\ #,##0.00_);[Red]\([$€-2]\ #,##0.00\)"/>
    <numFmt numFmtId="195" formatCode="&quot;£&quot;#,##0.0;[Red]\-&quot;£&quot;#,##0.0"/>
    <numFmt numFmtId="196" formatCode="0.0000"/>
  </numFmts>
  <fonts count="80">
    <font>
      <sz val="12"/>
      <name val="Arial"/>
      <family val="0"/>
    </font>
    <font>
      <sz val="12"/>
      <color indexed="8"/>
      <name val="Arial"/>
      <family val="0"/>
    </font>
    <font>
      <b/>
      <sz val="14"/>
      <color indexed="8"/>
      <name val="Arial"/>
      <family val="0"/>
    </font>
    <font>
      <b/>
      <i/>
      <sz val="12"/>
      <color indexed="8"/>
      <name val="Arial"/>
      <family val="0"/>
    </font>
    <font>
      <sz val="10"/>
      <name val="Arial"/>
      <family val="2"/>
    </font>
    <font>
      <sz val="12"/>
      <color indexed="21"/>
      <name val="Arial"/>
      <family val="2"/>
    </font>
    <font>
      <b/>
      <u val="single"/>
      <sz val="14"/>
      <name val="Arial"/>
      <family val="2"/>
    </font>
    <font>
      <sz val="12"/>
      <color indexed="19"/>
      <name val="Arial"/>
      <family val="2"/>
    </font>
    <font>
      <u val="single"/>
      <sz val="11"/>
      <color indexed="10"/>
      <name val="Arial"/>
      <family val="2"/>
    </font>
    <font>
      <b/>
      <sz val="12"/>
      <color indexed="19"/>
      <name val="Arial"/>
      <family val="2"/>
    </font>
    <font>
      <b/>
      <u val="double"/>
      <sz val="24"/>
      <color indexed="19"/>
      <name val="Arial"/>
      <family val="2"/>
    </font>
    <font>
      <b/>
      <u val="single"/>
      <sz val="12"/>
      <color indexed="10"/>
      <name val="Arial"/>
      <family val="2"/>
    </font>
    <font>
      <b/>
      <sz val="12"/>
      <color indexed="10"/>
      <name val="Arial"/>
      <family val="2"/>
    </font>
    <font>
      <b/>
      <sz val="12"/>
      <name val="Arial"/>
      <family val="2"/>
    </font>
    <font>
      <b/>
      <sz val="12"/>
      <color indexed="8"/>
      <name val="Arial"/>
      <family val="2"/>
    </font>
    <font>
      <sz val="12"/>
      <color indexed="12"/>
      <name val="Arial"/>
      <family val="2"/>
    </font>
    <font>
      <sz val="10"/>
      <color indexed="8"/>
      <name val="Arial"/>
      <family val="2"/>
    </font>
    <font>
      <sz val="14"/>
      <name val="Arial"/>
      <family val="2"/>
    </font>
    <font>
      <b/>
      <sz val="14"/>
      <name val="Arial"/>
      <family val="2"/>
    </font>
    <font>
      <b/>
      <sz val="16"/>
      <color indexed="56"/>
      <name val="Arial"/>
      <family val="2"/>
    </font>
    <font>
      <b/>
      <sz val="13"/>
      <name val="Arial"/>
      <family val="2"/>
    </font>
    <font>
      <sz val="12"/>
      <color indexed="17"/>
      <name val="Arial"/>
      <family val="2"/>
    </font>
    <font>
      <sz val="14"/>
      <color indexed="12"/>
      <name val="Arial"/>
      <family val="2"/>
    </font>
    <font>
      <b/>
      <sz val="16"/>
      <name val="Arial"/>
      <family val="2"/>
    </font>
    <font>
      <b/>
      <sz val="14"/>
      <color indexed="56"/>
      <name val="Arial"/>
      <family val="2"/>
    </font>
    <font>
      <b/>
      <sz val="14"/>
      <color indexed="18"/>
      <name val="Arial"/>
      <family val="2"/>
    </font>
    <font>
      <b/>
      <sz val="15"/>
      <color indexed="18"/>
      <name val="Arial"/>
      <family val="2"/>
    </font>
    <font>
      <sz val="14"/>
      <color indexed="18"/>
      <name val="Arial"/>
      <family val="2"/>
    </font>
    <font>
      <sz val="12"/>
      <color indexed="18"/>
      <name val="Arial"/>
      <family val="2"/>
    </font>
    <font>
      <sz val="14"/>
      <color indexed="10"/>
      <name val="Arial"/>
      <family val="2"/>
    </font>
    <font>
      <sz val="12"/>
      <color indexed="10"/>
      <name val="Arial"/>
      <family val="2"/>
    </font>
    <font>
      <b/>
      <sz val="12"/>
      <color indexed="18"/>
      <name val="Arial"/>
      <family val="2"/>
    </font>
    <font>
      <u val="double"/>
      <sz val="12"/>
      <color indexed="10"/>
      <name val="Arial"/>
      <family val="2"/>
    </font>
    <font>
      <sz val="14"/>
      <color indexed="8"/>
      <name val="Arial"/>
      <family val="2"/>
    </font>
    <font>
      <sz val="11"/>
      <color indexed="8"/>
      <name val="Arial"/>
      <family val="2"/>
    </font>
    <font>
      <sz val="11"/>
      <name val="Arial"/>
      <family val="2"/>
    </font>
    <font>
      <sz val="12"/>
      <color indexed="56"/>
      <name val="Arial"/>
      <family val="2"/>
    </font>
    <font>
      <u val="single"/>
      <sz val="12"/>
      <color indexed="10"/>
      <name val="Arial"/>
      <family val="2"/>
    </font>
    <font>
      <sz val="18"/>
      <color indexed="18"/>
      <name val="Arial"/>
      <family val="2"/>
    </font>
    <font>
      <sz val="10"/>
      <color indexed="18"/>
      <name val="Arial"/>
      <family val="2"/>
    </font>
    <font>
      <sz val="13"/>
      <color indexed="18"/>
      <name val="Comic Sans MS"/>
      <family val="4"/>
    </font>
    <font>
      <sz val="12"/>
      <color indexed="18"/>
      <name val="Comic Sans MS"/>
      <family val="4"/>
    </font>
    <font>
      <sz val="20"/>
      <color indexed="18"/>
      <name val="Arial"/>
      <family val="2"/>
    </font>
    <font>
      <b/>
      <u val="single"/>
      <sz val="10"/>
      <color indexed="10"/>
      <name val="Arial"/>
      <family val="2"/>
    </font>
    <font>
      <sz val="10"/>
      <color indexed="10"/>
      <name val="Arial"/>
      <family val="2"/>
    </font>
    <font>
      <sz val="14"/>
      <color indexed="56"/>
      <name val="Arial"/>
      <family val="2"/>
    </font>
    <font>
      <sz val="12"/>
      <color indexed="63"/>
      <name val="Arial"/>
      <family val="2"/>
    </font>
    <font>
      <b/>
      <sz val="14"/>
      <color indexed="9"/>
      <name val="Arial"/>
      <family val="2"/>
    </font>
    <font>
      <b/>
      <u val="single"/>
      <sz val="12"/>
      <name val="Arial"/>
      <family val="2"/>
    </font>
    <font>
      <b/>
      <u val="single"/>
      <sz val="8"/>
      <name val="Arial"/>
      <family val="2"/>
    </font>
    <font>
      <sz val="8"/>
      <name val="Arial"/>
      <family val="2"/>
    </font>
    <font>
      <b/>
      <sz val="10"/>
      <name val="Tahoma"/>
      <family val="0"/>
    </font>
    <font>
      <sz val="16"/>
      <name val="Arial"/>
      <family val="2"/>
    </font>
    <font>
      <sz val="16"/>
      <color indexed="18"/>
      <name val="Arial"/>
      <family val="2"/>
    </font>
    <font>
      <b/>
      <sz val="16"/>
      <color indexed="18"/>
      <name val="Arial"/>
      <family val="2"/>
    </font>
    <font>
      <b/>
      <sz val="14"/>
      <color indexed="17"/>
      <name val="Arial"/>
      <family val="2"/>
    </font>
    <font>
      <b/>
      <sz val="12"/>
      <color indexed="9"/>
      <name val="Arial"/>
      <family val="2"/>
    </font>
    <font>
      <b/>
      <sz val="16"/>
      <color indexed="9"/>
      <name val="Arial"/>
      <family val="2"/>
    </font>
    <font>
      <b/>
      <sz val="12"/>
      <name val="Tahoma"/>
      <family val="2"/>
    </font>
    <font>
      <sz val="8"/>
      <color indexed="12"/>
      <name val="Arial"/>
      <family val="2"/>
    </font>
    <font>
      <b/>
      <sz val="12"/>
      <color indexed="12"/>
      <name val="Arial"/>
      <family val="2"/>
    </font>
    <font>
      <b/>
      <sz val="14"/>
      <color indexed="10"/>
      <name val="Arial"/>
      <family val="2"/>
    </font>
    <font>
      <b/>
      <sz val="13"/>
      <color indexed="9"/>
      <name val="Arial"/>
      <family val="2"/>
    </font>
    <font>
      <b/>
      <u val="single"/>
      <sz val="14"/>
      <color indexed="12"/>
      <name val="Arial"/>
      <family val="2"/>
    </font>
    <font>
      <u val="single"/>
      <sz val="12"/>
      <color indexed="12"/>
      <name val="Arial"/>
      <family val="0"/>
    </font>
    <font>
      <b/>
      <sz val="12"/>
      <color indexed="10"/>
      <name val="Tahoma"/>
      <family val="2"/>
    </font>
    <font>
      <sz val="12"/>
      <color indexed="9"/>
      <name val="Arial"/>
      <family val="2"/>
    </font>
    <font>
      <b/>
      <sz val="14"/>
      <color indexed="12"/>
      <name val="Arial"/>
      <family val="2"/>
    </font>
    <font>
      <b/>
      <sz val="16"/>
      <color indexed="10"/>
      <name val="Arial"/>
      <family val="2"/>
    </font>
    <font>
      <sz val="10"/>
      <color indexed="9"/>
      <name val="Arial"/>
      <family val="2"/>
    </font>
    <font>
      <b/>
      <u val="single"/>
      <sz val="16"/>
      <color indexed="9"/>
      <name val="Arial"/>
      <family val="2"/>
    </font>
    <font>
      <u val="single"/>
      <sz val="12"/>
      <color indexed="36"/>
      <name val="Arial"/>
      <family val="0"/>
    </font>
    <font>
      <b/>
      <sz val="13"/>
      <color indexed="12"/>
      <name val="Arial"/>
      <family val="2"/>
    </font>
    <font>
      <u val="single"/>
      <sz val="11"/>
      <color indexed="12"/>
      <name val="Arial"/>
      <family val="2"/>
    </font>
    <font>
      <b/>
      <u val="single"/>
      <sz val="16"/>
      <color indexed="18"/>
      <name val="Arial"/>
      <family val="2"/>
    </font>
    <font>
      <u val="single"/>
      <sz val="13"/>
      <color indexed="12"/>
      <name val="Arial"/>
      <family val="2"/>
    </font>
    <font>
      <sz val="13"/>
      <name val="Arial"/>
      <family val="0"/>
    </font>
    <font>
      <u val="single"/>
      <sz val="14"/>
      <name val="Arial"/>
      <family val="2"/>
    </font>
    <font>
      <sz val="10"/>
      <color indexed="22"/>
      <name val="Arial"/>
      <family val="2"/>
    </font>
    <font>
      <b/>
      <sz val="8"/>
      <name val="Arial"/>
      <family val="2"/>
    </font>
  </fonts>
  <fills count="13">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63"/>
        <bgColor indexed="64"/>
      </patternFill>
    </fill>
    <fill>
      <patternFill patternType="solid">
        <fgColor indexed="17"/>
        <bgColor indexed="64"/>
      </patternFill>
    </fill>
    <fill>
      <patternFill patternType="solid">
        <fgColor indexed="42"/>
        <bgColor indexed="64"/>
      </patternFill>
    </fill>
    <fill>
      <patternFill patternType="solid">
        <fgColor indexed="44"/>
        <bgColor indexed="64"/>
      </patternFill>
    </fill>
    <fill>
      <patternFill patternType="solid">
        <fgColor indexed="12"/>
        <bgColor indexed="64"/>
      </patternFill>
    </fill>
    <fill>
      <patternFill patternType="solid">
        <fgColor indexed="10"/>
        <bgColor indexed="64"/>
      </patternFill>
    </fill>
    <fill>
      <patternFill patternType="solid">
        <fgColor indexed="9"/>
        <bgColor indexed="64"/>
      </patternFill>
    </fill>
    <fill>
      <patternFill patternType="solid">
        <fgColor indexed="42"/>
        <bgColor indexed="64"/>
      </patternFill>
    </fill>
  </fills>
  <borders count="191">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hair">
        <color indexed="8"/>
      </right>
      <top style="medium">
        <color indexed="8"/>
      </top>
      <bottom>
        <color indexed="63"/>
      </bottom>
    </border>
    <border>
      <left style="hair">
        <color indexed="8"/>
      </left>
      <right style="hair">
        <color indexed="8"/>
      </right>
      <top style="medium">
        <color indexed="8"/>
      </top>
      <bottom>
        <color indexed="63"/>
      </bottom>
    </border>
    <border>
      <left style="thin"/>
      <right>
        <color indexed="63"/>
      </right>
      <top style="medium">
        <color indexed="8"/>
      </top>
      <bottom>
        <color indexed="63"/>
      </bottom>
    </border>
    <border>
      <left style="thin">
        <color indexed="8"/>
      </left>
      <right style="thin">
        <color indexed="8"/>
      </right>
      <top>
        <color indexed="63"/>
      </top>
      <bottom>
        <color indexed="63"/>
      </bottom>
    </border>
    <border>
      <left style="medium">
        <color indexed="8"/>
      </left>
      <right style="hair">
        <color indexed="8"/>
      </right>
      <top>
        <color indexed="63"/>
      </top>
      <bottom>
        <color indexed="63"/>
      </bottom>
    </border>
    <border>
      <left style="hair">
        <color indexed="8"/>
      </left>
      <right style="hair">
        <color indexed="8"/>
      </right>
      <top>
        <color indexed="63"/>
      </top>
      <bottom>
        <color indexed="63"/>
      </bottom>
    </border>
    <border>
      <left style="thin"/>
      <right>
        <color indexed="63"/>
      </right>
      <top>
        <color indexed="63"/>
      </top>
      <bottom>
        <color indexed="63"/>
      </bottom>
    </border>
    <border>
      <left style="thin">
        <color indexed="8"/>
      </left>
      <right style="thin">
        <color indexed="8"/>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style="thin"/>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right style="medium">
        <color indexed="8"/>
      </right>
      <top>
        <color indexed="63"/>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medium">
        <color indexed="8"/>
      </left>
      <right style="thin"/>
      <top style="medium">
        <color indexed="8"/>
      </top>
      <bottom>
        <color indexed="63"/>
      </bottom>
    </border>
    <border>
      <left style="medium">
        <color indexed="8"/>
      </left>
      <right style="thin"/>
      <top>
        <color indexed="63"/>
      </top>
      <bottom>
        <color indexed="63"/>
      </bottom>
    </border>
    <border>
      <left style="medium">
        <color indexed="8"/>
      </left>
      <right style="thin"/>
      <top>
        <color indexed="63"/>
      </top>
      <bottom style="medium">
        <color indexed="8"/>
      </bottom>
    </border>
    <border>
      <left style="medium">
        <color indexed="8"/>
      </left>
      <right style="medium">
        <color indexed="8"/>
      </right>
      <top style="medium">
        <color indexed="8"/>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color indexed="63"/>
      </right>
      <top style="medium">
        <color indexed="8"/>
      </top>
      <bottom>
        <color indexed="63"/>
      </bottom>
    </border>
    <border>
      <left style="thin"/>
      <right>
        <color indexed="63"/>
      </right>
      <top>
        <color indexed="63"/>
      </top>
      <bottom style="thin"/>
    </border>
    <border>
      <left>
        <color indexed="63"/>
      </left>
      <right style="hair">
        <color indexed="8"/>
      </right>
      <top style="medium">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medium">
        <color indexed="8"/>
      </bottom>
    </border>
    <border>
      <left style="hair">
        <color indexed="8"/>
      </left>
      <right style="medium">
        <color indexed="8"/>
      </right>
      <top style="medium">
        <color indexed="8"/>
      </top>
      <bottom>
        <color indexed="63"/>
      </bottom>
    </border>
    <border>
      <left style="hair">
        <color indexed="8"/>
      </left>
      <right style="medium">
        <color indexed="8"/>
      </right>
      <top>
        <color indexed="63"/>
      </top>
      <bottom>
        <color indexed="63"/>
      </bottom>
    </border>
    <border>
      <left style="hair">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style="medium"/>
      <right style="medium">
        <color indexed="8"/>
      </right>
      <top style="medium">
        <color indexed="8"/>
      </top>
      <bottom style="medium">
        <color indexed="8"/>
      </bottom>
    </border>
    <border>
      <left style="medium"/>
      <right>
        <color indexed="63"/>
      </right>
      <top style="medium">
        <color indexed="8"/>
      </top>
      <bottom>
        <color indexed="63"/>
      </bottom>
    </border>
    <border>
      <left style="thin">
        <color indexed="8"/>
      </left>
      <right>
        <color indexed="63"/>
      </right>
      <top style="medium">
        <color indexed="8"/>
      </top>
      <bottom>
        <color indexed="63"/>
      </bottom>
    </border>
    <border>
      <left style="thin"/>
      <right style="thin">
        <color indexed="8"/>
      </right>
      <top style="medium">
        <color indexed="8"/>
      </top>
      <bottom>
        <color indexed="63"/>
      </bottom>
    </border>
    <border>
      <left style="thin">
        <color indexed="8"/>
      </left>
      <right style="thin"/>
      <top style="medium">
        <color indexed="8"/>
      </top>
      <bottom>
        <color indexed="63"/>
      </bottom>
    </border>
    <border>
      <left style="thin"/>
      <right style="thin"/>
      <top style="medium">
        <color indexed="8"/>
      </top>
      <bottom>
        <color indexed="63"/>
      </bottom>
    </border>
    <border>
      <left style="thin">
        <color indexed="8"/>
      </left>
      <right>
        <color indexed="63"/>
      </right>
      <top>
        <color indexed="63"/>
      </top>
      <bottom>
        <color indexed="63"/>
      </bottom>
    </border>
    <border>
      <left style="thin"/>
      <right style="thin">
        <color indexed="8"/>
      </right>
      <top>
        <color indexed="63"/>
      </top>
      <bottom>
        <color indexed="63"/>
      </bottom>
    </border>
    <border>
      <left style="thin"/>
      <right style="thin"/>
      <top>
        <color indexed="63"/>
      </top>
      <bottom>
        <color indexed="63"/>
      </bottom>
    </border>
    <border>
      <left style="thin">
        <color indexed="8"/>
      </left>
      <right>
        <color indexed="63"/>
      </right>
      <top>
        <color indexed="63"/>
      </top>
      <bottom style="medium">
        <color indexed="8"/>
      </bottom>
    </border>
    <border>
      <left style="thin"/>
      <right style="thin">
        <color indexed="8"/>
      </right>
      <top>
        <color indexed="63"/>
      </top>
      <bottom style="medium">
        <color indexed="8"/>
      </bottom>
    </border>
    <border>
      <left style="thin"/>
      <right style="thin"/>
      <top>
        <color indexed="63"/>
      </top>
      <bottom style="medium">
        <color indexed="8"/>
      </bottom>
    </border>
    <border>
      <left style="thin">
        <color indexed="8"/>
      </left>
      <right style="thin"/>
      <top>
        <color indexed="63"/>
      </top>
      <bottom>
        <color indexed="63"/>
      </bottom>
    </border>
    <border>
      <left style="thin">
        <color indexed="8"/>
      </left>
      <right>
        <color indexed="63"/>
      </right>
      <top>
        <color indexed="63"/>
      </top>
      <bottom style="medium"/>
    </border>
    <border>
      <left style="thin">
        <color indexed="8"/>
      </left>
      <right style="thin"/>
      <top>
        <color indexed="63"/>
      </top>
      <bottom style="medium"/>
    </border>
    <border>
      <left style="thin"/>
      <right style="thin"/>
      <top>
        <color indexed="63"/>
      </top>
      <bottom style="medium"/>
    </border>
    <border>
      <left style="medium">
        <color indexed="8"/>
      </left>
      <right style="medium"/>
      <top style="medium">
        <color indexed="8"/>
      </top>
      <bottom>
        <color indexed="63"/>
      </bottom>
    </border>
    <border>
      <left style="medium">
        <color indexed="8"/>
      </left>
      <right style="medium"/>
      <top>
        <color indexed="63"/>
      </top>
      <bottom>
        <color indexed="63"/>
      </bottom>
    </border>
    <border>
      <left style="medium">
        <color indexed="8"/>
      </left>
      <right style="medium"/>
      <top>
        <color indexed="63"/>
      </top>
      <bottom style="medium">
        <color indexed="8"/>
      </bottom>
    </border>
    <border>
      <left style="medium">
        <color indexed="8"/>
      </left>
      <right style="medium"/>
      <top>
        <color indexed="63"/>
      </top>
      <bottom style="medium"/>
    </border>
    <border>
      <left style="medium">
        <color indexed="8"/>
      </left>
      <right>
        <color indexed="63"/>
      </right>
      <top>
        <color indexed="63"/>
      </top>
      <bottom style="medium">
        <color indexed="8"/>
      </bottom>
    </border>
    <border>
      <left style="medium">
        <color indexed="8"/>
      </left>
      <right>
        <color indexed="63"/>
      </right>
      <top>
        <color indexed="63"/>
      </top>
      <bottom style="medium"/>
    </border>
    <border>
      <left style="medium">
        <color indexed="8"/>
      </left>
      <right style="hair">
        <color indexed="8"/>
      </right>
      <top>
        <color indexed="63"/>
      </top>
      <bottom style="medium"/>
    </border>
    <border>
      <left style="hair">
        <color indexed="8"/>
      </left>
      <right style="hair">
        <color indexed="8"/>
      </right>
      <top>
        <color indexed="63"/>
      </top>
      <bottom style="medium"/>
    </border>
    <border>
      <left style="thin"/>
      <right style="medium">
        <color indexed="8"/>
      </right>
      <top style="medium">
        <color indexed="8"/>
      </top>
      <bottom>
        <color indexed="63"/>
      </bottom>
    </border>
    <border>
      <left>
        <color indexed="63"/>
      </left>
      <right style="medium">
        <color indexed="8"/>
      </right>
      <top>
        <color indexed="63"/>
      </top>
      <bottom style="medium">
        <color indexed="8"/>
      </bottom>
    </border>
    <border>
      <left style="thin"/>
      <right style="medium">
        <color indexed="8"/>
      </right>
      <top>
        <color indexed="63"/>
      </top>
      <bottom style="medium">
        <color indexed="8"/>
      </bottom>
    </border>
    <border>
      <left style="thin">
        <color indexed="8"/>
      </left>
      <right style="thin"/>
      <top>
        <color indexed="63"/>
      </top>
      <bottom style="medium">
        <color indexed="8"/>
      </bottom>
    </border>
    <border>
      <left style="thin"/>
      <right style="medium"/>
      <top style="medium">
        <color indexed="8"/>
      </top>
      <bottom>
        <color indexed="63"/>
      </bottom>
    </border>
    <border>
      <left style="thin"/>
      <right style="medium"/>
      <top>
        <color indexed="63"/>
      </top>
      <bottom>
        <color indexed="63"/>
      </bottom>
    </border>
    <border>
      <left style="thin"/>
      <right style="medium"/>
      <top>
        <color indexed="63"/>
      </top>
      <bottom style="mediu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style="medium">
        <color indexed="51"/>
      </left>
      <right>
        <color indexed="63"/>
      </right>
      <top>
        <color indexed="63"/>
      </top>
      <bottom>
        <color indexed="63"/>
      </bottom>
    </border>
    <border>
      <left>
        <color indexed="63"/>
      </left>
      <right style="medium">
        <color indexed="51"/>
      </right>
      <top>
        <color indexed="63"/>
      </top>
      <bottom>
        <color indexed="63"/>
      </bottom>
    </border>
    <border>
      <left style="medium">
        <color indexed="51"/>
      </left>
      <right>
        <color indexed="63"/>
      </right>
      <top>
        <color indexed="63"/>
      </top>
      <bottom style="medium">
        <color indexed="51"/>
      </bottom>
    </border>
    <border>
      <left>
        <color indexed="63"/>
      </left>
      <right>
        <color indexed="63"/>
      </right>
      <top>
        <color indexed="63"/>
      </top>
      <bottom style="medium">
        <color indexed="51"/>
      </bottom>
    </border>
    <border>
      <left>
        <color indexed="63"/>
      </left>
      <right style="medium">
        <color indexed="51"/>
      </right>
      <top>
        <color indexed="63"/>
      </top>
      <bottom style="medium">
        <color indexed="51"/>
      </bottom>
    </border>
    <border>
      <left style="double">
        <color indexed="51"/>
      </left>
      <right>
        <color indexed="63"/>
      </right>
      <top style="double">
        <color indexed="51"/>
      </top>
      <bottom>
        <color indexed="63"/>
      </bottom>
    </border>
    <border>
      <left>
        <color indexed="63"/>
      </left>
      <right>
        <color indexed="63"/>
      </right>
      <top style="double">
        <color indexed="51"/>
      </top>
      <bottom>
        <color indexed="63"/>
      </bottom>
    </border>
    <border>
      <left>
        <color indexed="63"/>
      </left>
      <right style="double">
        <color indexed="51"/>
      </right>
      <top style="double">
        <color indexed="51"/>
      </top>
      <bottom>
        <color indexed="63"/>
      </bottom>
    </border>
    <border>
      <left style="double">
        <color indexed="51"/>
      </left>
      <right>
        <color indexed="63"/>
      </right>
      <top>
        <color indexed="63"/>
      </top>
      <bottom>
        <color indexed="63"/>
      </bottom>
    </border>
    <border>
      <left>
        <color indexed="63"/>
      </left>
      <right style="double">
        <color indexed="51"/>
      </right>
      <top>
        <color indexed="63"/>
      </top>
      <bottom>
        <color indexed="63"/>
      </bottom>
    </border>
    <border>
      <left style="double">
        <color indexed="51"/>
      </left>
      <right>
        <color indexed="63"/>
      </right>
      <top>
        <color indexed="63"/>
      </top>
      <bottom style="double">
        <color indexed="56"/>
      </bottom>
    </border>
    <border>
      <left>
        <color indexed="63"/>
      </left>
      <right>
        <color indexed="63"/>
      </right>
      <top>
        <color indexed="63"/>
      </top>
      <bottom style="double">
        <color indexed="56"/>
      </bottom>
    </border>
    <border>
      <left>
        <color indexed="63"/>
      </left>
      <right style="double">
        <color indexed="51"/>
      </right>
      <top>
        <color indexed="63"/>
      </top>
      <bottom style="double">
        <color indexed="56"/>
      </bottom>
    </border>
    <border>
      <left style="medium"/>
      <right>
        <color indexed="63"/>
      </right>
      <top style="double"/>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double"/>
      <bottom style="thin"/>
    </border>
    <border>
      <left style="thin"/>
      <right style="thin"/>
      <top style="thin"/>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style="medium"/>
      <right style="thin"/>
      <top>
        <color indexed="63"/>
      </top>
      <bottom>
        <color indexed="63"/>
      </bottom>
    </border>
    <border>
      <left style="thin"/>
      <right>
        <color indexed="63"/>
      </right>
      <top>
        <color indexed="63"/>
      </top>
      <bottom style="medium"/>
    </border>
    <border>
      <left style="hair"/>
      <right style="hair"/>
      <top>
        <color indexed="63"/>
      </top>
      <bottom style="mediu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medium"/>
      <top style="double"/>
      <bottom>
        <color indexed="63"/>
      </bottom>
    </border>
    <border>
      <left style="hair"/>
      <right style="thin"/>
      <top>
        <color indexed="63"/>
      </top>
      <bottom style="medium"/>
    </border>
    <border>
      <left style="thin"/>
      <right>
        <color indexed="63"/>
      </right>
      <top style="thin"/>
      <bottom>
        <color indexed="63"/>
      </bottom>
    </border>
    <border>
      <left style="medium"/>
      <right style="thin"/>
      <top>
        <color indexed="63"/>
      </top>
      <bottom style="medium"/>
    </border>
    <border>
      <left style="double">
        <color indexed="8"/>
      </left>
      <right style="double">
        <color indexed="8"/>
      </right>
      <top style="double">
        <color indexed="8"/>
      </top>
      <bottom style="double">
        <color indexed="8"/>
      </bottom>
    </border>
    <border>
      <left>
        <color indexed="63"/>
      </left>
      <right style="thin">
        <color indexed="8"/>
      </right>
      <top style="thin"/>
      <bottom style="thin"/>
    </border>
    <border>
      <left>
        <color indexed="63"/>
      </left>
      <right style="thin">
        <color indexed="8"/>
      </right>
      <top>
        <color indexed="63"/>
      </top>
      <bottom style="thin"/>
    </border>
    <border>
      <left>
        <color indexed="63"/>
      </left>
      <right style="thin"/>
      <top style="thin">
        <color indexed="8"/>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medium"/>
      <top style="thin"/>
      <bottom>
        <color indexed="63"/>
      </bottom>
    </border>
    <border>
      <left style="medium"/>
      <right style="thin">
        <color indexed="8"/>
      </right>
      <top>
        <color indexed="63"/>
      </top>
      <bottom>
        <color indexed="63"/>
      </bottom>
    </border>
    <border>
      <left style="medium">
        <color indexed="8"/>
      </left>
      <right style="thin">
        <color indexed="8"/>
      </right>
      <top>
        <color indexed="63"/>
      </top>
      <bottom>
        <color indexed="63"/>
      </bottom>
    </border>
    <border>
      <left style="thin"/>
      <right style="thin">
        <color indexed="8"/>
      </right>
      <top>
        <color indexed="63"/>
      </top>
      <bottom style="medium"/>
    </border>
    <border>
      <left style="double">
        <color indexed="8"/>
      </left>
      <right style="thin">
        <color indexed="8"/>
      </right>
      <top>
        <color indexed="63"/>
      </top>
      <bottom>
        <color indexed="63"/>
      </bottom>
    </border>
    <border>
      <left style="medium"/>
      <right style="medium"/>
      <top style="medium"/>
      <bottom>
        <color indexed="63"/>
      </bottom>
    </border>
    <border>
      <left style="thick">
        <color indexed="10"/>
      </left>
      <right>
        <color indexed="63"/>
      </right>
      <top>
        <color indexed="63"/>
      </top>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color indexed="63"/>
      </right>
      <top style="thick">
        <color indexed="13"/>
      </top>
      <bottom>
        <color indexed="63"/>
      </bottom>
    </border>
    <border>
      <left>
        <color indexed="63"/>
      </left>
      <right style="thick">
        <color indexed="13"/>
      </right>
      <top style="thick">
        <color indexed="13"/>
      </top>
      <bottom>
        <color indexed="63"/>
      </bottom>
    </border>
    <border>
      <left>
        <color indexed="63"/>
      </left>
      <right style="thick">
        <color indexed="13"/>
      </right>
      <top>
        <color indexed="63"/>
      </top>
      <bottom>
        <color indexed="63"/>
      </bottom>
    </border>
    <border>
      <left>
        <color indexed="63"/>
      </left>
      <right>
        <color indexed="63"/>
      </right>
      <top>
        <color indexed="63"/>
      </top>
      <bottom style="thick">
        <color indexed="13"/>
      </bottom>
    </border>
    <border>
      <left>
        <color indexed="63"/>
      </left>
      <right style="thick">
        <color indexed="13"/>
      </right>
      <top>
        <color indexed="63"/>
      </top>
      <bottom style="thick">
        <color indexed="13"/>
      </bottom>
    </border>
    <border>
      <left>
        <color indexed="63"/>
      </left>
      <right>
        <color indexed="63"/>
      </right>
      <top style="thin"/>
      <bottom>
        <color indexed="63"/>
      </bottom>
    </border>
    <border>
      <left>
        <color indexed="63"/>
      </left>
      <right>
        <color indexed="63"/>
      </right>
      <top style="thin"/>
      <bottom style="medium"/>
    </border>
    <border>
      <left style="medium"/>
      <right>
        <color indexed="63"/>
      </right>
      <top>
        <color indexed="63"/>
      </top>
      <bottom style="thin"/>
    </border>
    <border>
      <left>
        <color indexed="63"/>
      </left>
      <right style="medium"/>
      <top>
        <color indexed="63"/>
      </top>
      <bottom style="thin"/>
    </border>
    <border>
      <left>
        <color indexed="63"/>
      </left>
      <right style="thin"/>
      <top>
        <color indexed="63"/>
      </top>
      <bottom style="medium">
        <color indexed="8"/>
      </bottom>
    </border>
    <border>
      <left style="medium">
        <color indexed="10"/>
      </left>
      <right style="medium">
        <color indexed="10"/>
      </right>
      <top style="medium">
        <color indexed="10"/>
      </top>
      <bottom style="medium">
        <color indexed="10"/>
      </bottom>
    </border>
    <border>
      <left style="medium">
        <color indexed="10"/>
      </left>
      <right style="medium">
        <color indexed="10"/>
      </right>
      <top style="medium">
        <color indexed="10"/>
      </top>
      <bottom>
        <color indexed="63"/>
      </bottom>
    </border>
    <border>
      <left style="medium">
        <color indexed="13"/>
      </left>
      <right style="medium">
        <color indexed="13"/>
      </right>
      <top style="medium">
        <color indexed="13"/>
      </top>
      <bottom style="medium">
        <color indexed="13"/>
      </bottom>
    </border>
    <border>
      <left style="thick">
        <color indexed="13"/>
      </left>
      <right>
        <color indexed="63"/>
      </right>
      <top style="thick">
        <color indexed="13"/>
      </top>
      <bottom>
        <color indexed="63"/>
      </bottom>
    </border>
    <border>
      <left style="thick">
        <color indexed="13"/>
      </left>
      <right>
        <color indexed="63"/>
      </right>
      <top>
        <color indexed="63"/>
      </top>
      <bottom>
        <color indexed="63"/>
      </bottom>
    </border>
    <border>
      <left style="thick">
        <color indexed="13"/>
      </left>
      <right>
        <color indexed="63"/>
      </right>
      <top>
        <color indexed="63"/>
      </top>
      <bottom style="thick">
        <color indexed="13"/>
      </bottom>
    </border>
    <border>
      <left>
        <color indexed="63"/>
      </left>
      <right>
        <color indexed="63"/>
      </right>
      <top>
        <color indexed="63"/>
      </top>
      <bottom style="medium">
        <color indexed="18"/>
      </bottom>
    </border>
    <border>
      <left style="double"/>
      <right style="double"/>
      <top style="double"/>
      <bottom style="double"/>
    </border>
    <border>
      <left>
        <color indexed="63"/>
      </left>
      <right style="thin">
        <color indexed="8"/>
      </right>
      <top style="thin">
        <color indexed="8"/>
      </top>
      <bottom style="thin">
        <color indexed="8"/>
      </bottom>
    </border>
    <border>
      <left style="medium">
        <color indexed="18"/>
      </left>
      <right>
        <color indexed="63"/>
      </right>
      <top style="medium">
        <color indexed="18"/>
      </top>
      <bottom style="thin"/>
    </border>
    <border>
      <left>
        <color indexed="63"/>
      </left>
      <right>
        <color indexed="63"/>
      </right>
      <top style="medium">
        <color indexed="18"/>
      </top>
      <bottom style="thin"/>
    </border>
    <border>
      <left>
        <color indexed="63"/>
      </left>
      <right style="medium">
        <color indexed="18"/>
      </right>
      <top style="medium">
        <color indexed="18"/>
      </top>
      <bottom style="thin"/>
    </border>
    <border>
      <left style="medium">
        <color indexed="18"/>
      </left>
      <right>
        <color indexed="63"/>
      </right>
      <top>
        <color indexed="63"/>
      </top>
      <bottom>
        <color indexed="63"/>
      </bottom>
    </border>
    <border>
      <left>
        <color indexed="63"/>
      </left>
      <right style="medium">
        <color indexed="18"/>
      </right>
      <top>
        <color indexed="63"/>
      </top>
      <bottom>
        <color indexed="63"/>
      </bottom>
    </border>
    <border>
      <left style="medium">
        <color indexed="18"/>
      </left>
      <right>
        <color indexed="63"/>
      </right>
      <top>
        <color indexed="63"/>
      </top>
      <bottom style="medium">
        <color indexed="18"/>
      </bottom>
    </border>
    <border>
      <left>
        <color indexed="63"/>
      </left>
      <right style="medium">
        <color indexed="18"/>
      </right>
      <top>
        <color indexed="63"/>
      </top>
      <bottom style="medium">
        <color indexed="1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bottom style="thin">
        <color indexed="8"/>
      </bottom>
    </border>
    <border>
      <left style="thin"/>
      <right>
        <color indexed="63"/>
      </right>
      <top style="thin"/>
      <bottom style="thin"/>
    </border>
    <border>
      <left style="thin">
        <color indexed="8"/>
      </left>
      <right>
        <color indexed="63"/>
      </right>
      <top style="thin"/>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color indexed="63"/>
      </right>
      <top style="thin"/>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double">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border>
    <border>
      <left style="double">
        <color indexed="19"/>
      </left>
      <right>
        <color indexed="63"/>
      </right>
      <top style="double">
        <color indexed="19"/>
      </top>
      <bottom style="double">
        <color indexed="19"/>
      </bottom>
    </border>
    <border>
      <left>
        <color indexed="63"/>
      </left>
      <right>
        <color indexed="63"/>
      </right>
      <top style="double">
        <color indexed="19"/>
      </top>
      <bottom style="double">
        <color indexed="19"/>
      </bottom>
    </border>
    <border>
      <left>
        <color indexed="63"/>
      </left>
      <right style="double">
        <color indexed="19"/>
      </right>
      <top style="double">
        <color indexed="19"/>
      </top>
      <bottom style="double">
        <color indexed="19"/>
      </bottom>
    </border>
    <border>
      <left style="medium"/>
      <right>
        <color indexed="63"/>
      </right>
      <top style="thin"/>
      <bottom>
        <color indexed="63"/>
      </bottom>
    </border>
    <border>
      <left>
        <color indexed="63"/>
      </left>
      <right style="medium"/>
      <top style="thin"/>
      <bottom>
        <color indexed="63"/>
      </bottom>
    </border>
  </borders>
  <cellStyleXfs count="20">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0" fontId="71" fillId="0" borderId="0" applyNumberFormat="0" applyFill="0" applyBorder="0" applyAlignment="0" applyProtection="0"/>
    <xf numFmtId="0" fontId="64" fillId="0" borderId="0" applyNumberFormat="0" applyFill="0" applyBorder="0" applyAlignment="0" applyProtection="0"/>
    <xf numFmtId="0" fontId="0" fillId="2" borderId="0">
      <alignment/>
      <protection/>
    </xf>
    <xf numFmtId="0" fontId="0" fillId="2" borderId="0">
      <alignment/>
      <protection/>
    </xf>
    <xf numFmtId="0" fontId="0" fillId="2" borderId="0">
      <alignment/>
      <protection/>
    </xf>
  </cellStyleXfs>
  <cellXfs count="1125">
    <xf numFmtId="37" fontId="0" fillId="2" borderId="0" xfId="0" applyNumberFormat="1" applyAlignment="1">
      <alignment/>
    </xf>
    <xf numFmtId="37" fontId="4" fillId="3" borderId="0" xfId="0" applyNumberFormat="1" applyFont="1" applyFill="1" applyAlignment="1" applyProtection="1">
      <alignment/>
      <protection locked="0"/>
    </xf>
    <xf numFmtId="37" fontId="4" fillId="2" borderId="0" xfId="0" applyNumberFormat="1" applyFont="1" applyAlignment="1" applyProtection="1">
      <alignment/>
      <protection locked="0"/>
    </xf>
    <xf numFmtId="37" fontId="0" fillId="3" borderId="0" xfId="0" applyNumberFormat="1" applyFont="1" applyFill="1" applyAlignment="1">
      <alignment vertical="center"/>
    </xf>
    <xf numFmtId="37" fontId="0" fillId="2" borderId="0" xfId="0" applyNumberFormat="1" applyFont="1" applyAlignment="1">
      <alignment vertical="center"/>
    </xf>
    <xf numFmtId="37" fontId="1" fillId="3" borderId="0" xfId="0" applyNumberFormat="1" applyFont="1" applyFill="1" applyAlignment="1">
      <alignment vertical="center"/>
    </xf>
    <xf numFmtId="0" fontId="0" fillId="2" borderId="0" xfId="18" applyNumberFormat="1" applyFont="1" applyAlignment="1">
      <alignment vertical="center"/>
      <protection/>
    </xf>
    <xf numFmtId="0" fontId="0" fillId="2" borderId="0" xfId="17" applyNumberFormat="1" applyFont="1" applyAlignment="1">
      <alignment vertical="center"/>
      <protection/>
    </xf>
    <xf numFmtId="37" fontId="10" fillId="3" borderId="0" xfId="0" applyNumberFormat="1" applyFont="1" applyFill="1" applyAlignment="1">
      <alignment horizontal="center"/>
    </xf>
    <xf numFmtId="37" fontId="0" fillId="2" borderId="0" xfId="0" applyNumberFormat="1" applyFont="1" applyAlignment="1">
      <alignment/>
    </xf>
    <xf numFmtId="0" fontId="0" fillId="3" borderId="0" xfId="19" applyNumberFormat="1" applyFont="1" applyFill="1">
      <alignment/>
      <protection/>
    </xf>
    <xf numFmtId="185" fontId="11" fillId="3" borderId="0" xfId="0" applyNumberFormat="1" applyFont="1" applyFill="1" applyAlignment="1" applyProtection="1">
      <alignment horizontal="right" vertical="center"/>
      <protection locked="0"/>
    </xf>
    <xf numFmtId="0" fontId="0" fillId="2" borderId="0" xfId="19" applyNumberFormat="1" applyFont="1">
      <alignment/>
      <protection/>
    </xf>
    <xf numFmtId="0" fontId="0" fillId="3" borderId="0" xfId="19" applyNumberFormat="1" applyFont="1" applyFill="1" applyAlignment="1">
      <alignment vertical="center"/>
      <protection/>
    </xf>
    <xf numFmtId="0" fontId="0" fillId="2" borderId="0" xfId="19" applyNumberFormat="1" applyFont="1" applyFill="1" applyAlignment="1">
      <alignment vertical="center"/>
      <protection/>
    </xf>
    <xf numFmtId="0" fontId="0" fillId="2" borderId="0" xfId="19" applyNumberFormat="1" applyFont="1" applyFill="1">
      <alignment/>
      <protection/>
    </xf>
    <xf numFmtId="0" fontId="1" fillId="3" borderId="0" xfId="19" applyNumberFormat="1" applyFont="1" applyFill="1">
      <alignment/>
      <protection/>
    </xf>
    <xf numFmtId="37" fontId="4" fillId="0" borderId="0" xfId="0" applyNumberFormat="1" applyFont="1" applyFill="1" applyAlignment="1" applyProtection="1">
      <alignment/>
      <protection locked="0"/>
    </xf>
    <xf numFmtId="37" fontId="10" fillId="4" borderId="0" xfId="0" applyNumberFormat="1" applyFont="1" applyFill="1" applyAlignment="1">
      <alignment horizontal="center" vertical="center"/>
    </xf>
    <xf numFmtId="0" fontId="0" fillId="5" borderId="0" xfId="17" applyNumberFormat="1" applyFont="1" applyFill="1" applyAlignment="1">
      <alignment vertical="center"/>
      <protection/>
    </xf>
    <xf numFmtId="37" fontId="10" fillId="5" borderId="0" xfId="0" applyNumberFormat="1" applyFont="1" applyFill="1" applyAlignment="1">
      <alignment horizontal="center" vertical="center"/>
    </xf>
    <xf numFmtId="2" fontId="0" fillId="5" borderId="0" xfId="17" applyNumberFormat="1" applyFont="1" applyFill="1" applyAlignment="1">
      <alignment vertical="center"/>
      <protection/>
    </xf>
    <xf numFmtId="0" fontId="46" fillId="5" borderId="0" xfId="17" applyNumberFormat="1" applyFont="1" applyFill="1" applyAlignment="1">
      <alignment vertical="center"/>
      <protection/>
    </xf>
    <xf numFmtId="37" fontId="0" fillId="0" borderId="0" xfId="0" applyNumberFormat="1" applyFont="1" applyFill="1" applyBorder="1" applyAlignment="1">
      <alignment horizontal="center"/>
    </xf>
    <xf numFmtId="37" fontId="0" fillId="0" borderId="0" xfId="0" applyNumberFormat="1" applyFont="1" applyFill="1" applyBorder="1" applyAlignment="1">
      <alignment/>
    </xf>
    <xf numFmtId="44" fontId="23" fillId="0" borderId="0" xfId="0" applyNumberFormat="1" applyFont="1" applyFill="1" applyBorder="1" applyAlignment="1">
      <alignment/>
    </xf>
    <xf numFmtId="37" fontId="27" fillId="0" borderId="0" xfId="0" applyNumberFormat="1" applyFont="1" applyFill="1" applyBorder="1" applyAlignment="1">
      <alignment/>
    </xf>
    <xf numFmtId="37" fontId="13" fillId="0" borderId="0" xfId="0" applyNumberFormat="1" applyFont="1" applyFill="1" applyBorder="1" applyAlignment="1">
      <alignment/>
    </xf>
    <xf numFmtId="179" fontId="19" fillId="0" borderId="0" xfId="0" applyNumberFormat="1" applyFont="1" applyFill="1" applyBorder="1" applyAlignment="1">
      <alignment/>
    </xf>
    <xf numFmtId="37" fontId="20" fillId="0" borderId="0" xfId="0" applyNumberFormat="1" applyFont="1" applyFill="1" applyBorder="1" applyAlignment="1">
      <alignment/>
    </xf>
    <xf numFmtId="37" fontId="0" fillId="4" borderId="0" xfId="0" applyNumberFormat="1" applyFont="1" applyFill="1" applyAlignment="1">
      <alignment/>
    </xf>
    <xf numFmtId="37" fontId="10" fillId="4" borderId="0" xfId="0" applyNumberFormat="1" applyFont="1" applyFill="1" applyAlignment="1">
      <alignment horizontal="center"/>
    </xf>
    <xf numFmtId="185" fontId="11" fillId="4" borderId="0" xfId="0" applyNumberFormat="1" applyFont="1" applyFill="1" applyAlignment="1" applyProtection="1">
      <alignment horizontal="right" vertical="center"/>
      <protection locked="0"/>
    </xf>
    <xf numFmtId="37" fontId="0" fillId="5" borderId="0" xfId="0" applyNumberFormat="1" applyFont="1" applyFill="1" applyAlignment="1">
      <alignment/>
    </xf>
    <xf numFmtId="37" fontId="13" fillId="0" borderId="1" xfId="0" applyNumberFormat="1" applyFont="1" applyFill="1" applyBorder="1" applyAlignment="1" applyProtection="1">
      <alignment vertical="center"/>
      <protection hidden="1"/>
    </xf>
    <xf numFmtId="37" fontId="20" fillId="0" borderId="2" xfId="0" applyNumberFormat="1" applyFont="1" applyFill="1" applyBorder="1" applyAlignment="1" applyProtection="1">
      <alignment vertical="center"/>
      <protection hidden="1"/>
    </xf>
    <xf numFmtId="37" fontId="0" fillId="0" borderId="2" xfId="0" applyNumberFormat="1" applyFont="1" applyFill="1" applyBorder="1" applyAlignment="1" applyProtection="1">
      <alignment vertical="center"/>
      <protection hidden="1"/>
    </xf>
    <xf numFmtId="2" fontId="19" fillId="0" borderId="2" xfId="0" applyNumberFormat="1" applyFont="1" applyFill="1" applyBorder="1" applyAlignment="1" applyProtection="1">
      <alignment horizontal="center" vertical="center"/>
      <protection hidden="1"/>
    </xf>
    <xf numFmtId="37" fontId="0" fillId="0" borderId="3" xfId="0" applyNumberFormat="1" applyFont="1" applyFill="1" applyBorder="1" applyAlignment="1" applyProtection="1">
      <alignment vertical="center"/>
      <protection hidden="1"/>
    </xf>
    <xf numFmtId="0" fontId="1" fillId="3" borderId="4" xfId="17" applyNumberFormat="1" applyFont="1" applyFill="1" applyBorder="1" applyAlignment="1" applyProtection="1">
      <alignment vertical="center"/>
      <protection hidden="1"/>
    </xf>
    <xf numFmtId="0" fontId="1" fillId="3" borderId="5" xfId="17" applyNumberFormat="1" applyFont="1" applyFill="1" applyBorder="1" applyAlignment="1" applyProtection="1">
      <alignment vertical="center"/>
      <protection hidden="1"/>
    </xf>
    <xf numFmtId="0" fontId="1" fillId="3" borderId="0" xfId="17" applyNumberFormat="1" applyFont="1" applyFill="1" applyBorder="1" applyAlignment="1" applyProtection="1">
      <alignment vertical="center"/>
      <protection hidden="1"/>
    </xf>
    <xf numFmtId="0" fontId="35" fillId="3" borderId="6" xfId="17" applyNumberFormat="1" applyFont="1" applyFill="1" applyBorder="1" applyAlignment="1" applyProtection="1">
      <alignment horizontal="center" vertical="center"/>
      <protection hidden="1"/>
    </xf>
    <xf numFmtId="0" fontId="0" fillId="3" borderId="4" xfId="17" applyNumberFormat="1" applyFont="1" applyFill="1" applyBorder="1" applyAlignment="1" applyProtection="1">
      <alignment horizontal="center" vertical="center"/>
      <protection hidden="1"/>
    </xf>
    <xf numFmtId="0" fontId="0" fillId="3" borderId="7" xfId="17" applyNumberFormat="1" applyFont="1" applyFill="1" applyBorder="1" applyAlignment="1" applyProtection="1">
      <alignment horizontal="center" vertical="center"/>
      <protection hidden="1"/>
    </xf>
    <xf numFmtId="0" fontId="47" fillId="6" borderId="8" xfId="17" applyNumberFormat="1" applyFont="1" applyFill="1" applyBorder="1" applyAlignment="1" applyProtection="1">
      <alignment horizontal="center" vertical="center"/>
      <protection hidden="1"/>
    </xf>
    <xf numFmtId="0" fontId="0" fillId="3" borderId="9" xfId="17" applyNumberFormat="1" applyFont="1" applyFill="1" applyBorder="1" applyAlignment="1" applyProtection="1">
      <alignment horizontal="center" vertical="center"/>
      <protection hidden="1"/>
    </xf>
    <xf numFmtId="0" fontId="0" fillId="3" borderId="10" xfId="17" applyNumberFormat="1" applyFont="1" applyFill="1" applyBorder="1" applyAlignment="1" applyProtection="1">
      <alignment vertical="center"/>
      <protection hidden="1"/>
    </xf>
    <xf numFmtId="0" fontId="34" fillId="3" borderId="10" xfId="17" applyNumberFormat="1" applyFont="1" applyFill="1" applyBorder="1" applyAlignment="1" applyProtection="1">
      <alignment horizontal="center" vertical="center"/>
      <protection hidden="1"/>
    </xf>
    <xf numFmtId="0" fontId="0" fillId="3" borderId="0" xfId="17" applyNumberFormat="1" applyFont="1" applyFill="1" applyBorder="1" applyAlignment="1" applyProtection="1">
      <alignment horizontal="center" vertical="center"/>
      <protection hidden="1"/>
    </xf>
    <xf numFmtId="0" fontId="0" fillId="3" borderId="11" xfId="17" applyNumberFormat="1" applyFont="1" applyFill="1" applyBorder="1" applyAlignment="1" applyProtection="1">
      <alignment horizontal="center" vertical="center"/>
      <protection hidden="1"/>
    </xf>
    <xf numFmtId="0" fontId="47" fillId="6" borderId="12" xfId="17" applyNumberFormat="1" applyFont="1" applyFill="1" applyBorder="1" applyAlignment="1" applyProtection="1">
      <alignment horizontal="center" vertical="center"/>
      <protection hidden="1"/>
    </xf>
    <xf numFmtId="0" fontId="0" fillId="3" borderId="13" xfId="17" applyNumberFormat="1" applyFont="1" applyFill="1" applyBorder="1" applyAlignment="1" applyProtection="1">
      <alignment horizontal="center" vertical="center"/>
      <protection hidden="1"/>
    </xf>
    <xf numFmtId="0" fontId="35" fillId="3" borderId="10" xfId="17" applyNumberFormat="1" applyFont="1" applyFill="1" applyBorder="1" applyAlignment="1" applyProtection="1">
      <alignment horizontal="center" vertical="center"/>
      <protection hidden="1"/>
    </xf>
    <xf numFmtId="0" fontId="0" fillId="3" borderId="0" xfId="17" applyNumberFormat="1" applyFont="1" applyFill="1" applyBorder="1" applyAlignment="1" applyProtection="1">
      <alignment vertical="center"/>
      <protection hidden="1"/>
    </xf>
    <xf numFmtId="0" fontId="47" fillId="6" borderId="12" xfId="17" applyNumberFormat="1" applyFont="1" applyFill="1" applyBorder="1" applyAlignment="1" applyProtection="1">
      <alignment vertical="center"/>
      <protection hidden="1"/>
    </xf>
    <xf numFmtId="0" fontId="0" fillId="3" borderId="14" xfId="17" applyNumberFormat="1" applyFont="1" applyFill="1" applyBorder="1" applyAlignment="1" applyProtection="1">
      <alignment vertical="center"/>
      <protection hidden="1"/>
    </xf>
    <xf numFmtId="0" fontId="1" fillId="3" borderId="10" xfId="17" applyNumberFormat="1" applyFont="1" applyFill="1" applyBorder="1" applyAlignment="1" applyProtection="1">
      <alignment vertical="center"/>
      <protection hidden="1"/>
    </xf>
    <xf numFmtId="2" fontId="0" fillId="3" borderId="0" xfId="17" applyNumberFormat="1" applyFont="1" applyFill="1" applyBorder="1" applyAlignment="1" applyProtection="1">
      <alignment vertical="center"/>
      <protection hidden="1"/>
    </xf>
    <xf numFmtId="0" fontId="0" fillId="3" borderId="15" xfId="17" applyNumberFormat="1" applyFont="1" applyFill="1" applyBorder="1" applyAlignment="1" applyProtection="1">
      <alignment vertical="center"/>
      <protection hidden="1"/>
    </xf>
    <xf numFmtId="37" fontId="0" fillId="3" borderId="11" xfId="17" applyNumberFormat="1" applyFont="1" applyFill="1" applyBorder="1" applyAlignment="1" applyProtection="1">
      <alignment vertical="center"/>
      <protection hidden="1"/>
    </xf>
    <xf numFmtId="0" fontId="0" fillId="3" borderId="13" xfId="17" applyNumberFormat="1" applyFont="1" applyFill="1" applyBorder="1" applyAlignment="1" applyProtection="1">
      <alignment vertical="center"/>
      <protection hidden="1"/>
    </xf>
    <xf numFmtId="0" fontId="2" fillId="3" borderId="16" xfId="18" applyNumberFormat="1" applyFont="1" applyFill="1" applyBorder="1" applyAlignment="1" applyProtection="1">
      <alignment vertical="center"/>
      <protection hidden="1"/>
    </xf>
    <xf numFmtId="0" fontId="33" fillId="3" borderId="10" xfId="17" applyNumberFormat="1" applyFont="1" applyFill="1" applyBorder="1" applyAlignment="1" applyProtection="1">
      <alignment horizontal="center" vertical="center"/>
      <protection hidden="1"/>
    </xf>
    <xf numFmtId="0" fontId="0" fillId="3" borderId="17" xfId="17" applyNumberFormat="1" applyFont="1" applyFill="1" applyBorder="1" applyAlignment="1" applyProtection="1">
      <alignment vertical="center"/>
      <protection hidden="1"/>
    </xf>
    <xf numFmtId="2" fontId="0" fillId="3" borderId="17" xfId="17" applyNumberFormat="1" applyFont="1" applyFill="1" applyBorder="1" applyAlignment="1" applyProtection="1">
      <alignment vertical="center"/>
      <protection hidden="1"/>
    </xf>
    <xf numFmtId="0" fontId="0" fillId="3" borderId="18" xfId="17" applyNumberFormat="1" applyFont="1" applyFill="1" applyBorder="1" applyAlignment="1" applyProtection="1">
      <alignment vertical="center"/>
      <protection hidden="1"/>
    </xf>
    <xf numFmtId="0" fontId="47" fillId="6" borderId="19" xfId="17" applyNumberFormat="1" applyFont="1" applyFill="1" applyBorder="1" applyAlignment="1" applyProtection="1">
      <alignment vertical="center"/>
      <protection hidden="1"/>
    </xf>
    <xf numFmtId="37" fontId="0" fillId="3" borderId="20" xfId="17" applyNumberFormat="1" applyFont="1" applyFill="1" applyBorder="1" applyAlignment="1" applyProtection="1">
      <alignment vertical="center"/>
      <protection hidden="1"/>
    </xf>
    <xf numFmtId="0" fontId="0" fillId="5" borderId="0" xfId="18" applyNumberFormat="1" applyFont="1" applyFill="1" applyAlignment="1">
      <alignment vertical="center"/>
      <protection/>
    </xf>
    <xf numFmtId="0" fontId="0" fillId="4" borderId="0" xfId="18" applyNumberFormat="1" applyFont="1" applyFill="1" applyAlignment="1">
      <alignment vertical="center"/>
      <protection/>
    </xf>
    <xf numFmtId="0" fontId="1" fillId="4" borderId="0" xfId="18" applyNumberFormat="1" applyFont="1" applyFill="1" applyAlignment="1">
      <alignment vertical="center"/>
      <protection/>
    </xf>
    <xf numFmtId="0" fontId="0" fillId="4" borderId="0" xfId="18" applyNumberFormat="1" applyFont="1" applyFill="1" applyAlignment="1">
      <alignment horizontal="centerContinuous" vertical="center"/>
      <protection/>
    </xf>
    <xf numFmtId="0" fontId="0" fillId="5" borderId="0" xfId="18" applyNumberFormat="1" applyFont="1" applyFill="1" applyAlignment="1">
      <alignment horizontal="centerContinuous" vertical="center"/>
      <protection/>
    </xf>
    <xf numFmtId="0" fontId="17" fillId="3" borderId="21" xfId="17" applyNumberFormat="1" applyFont="1" applyFill="1" applyBorder="1" applyAlignment="1" applyProtection="1">
      <alignment horizontal="center" vertical="center"/>
      <protection hidden="1"/>
    </xf>
    <xf numFmtId="0" fontId="17" fillId="3" borderId="22" xfId="17" applyNumberFormat="1" applyFont="1" applyFill="1" applyBorder="1" applyAlignment="1" applyProtection="1">
      <alignment horizontal="center" vertical="center"/>
      <protection hidden="1"/>
    </xf>
    <xf numFmtId="0" fontId="0" fillId="3" borderId="22" xfId="17" applyNumberFormat="1" applyFont="1" applyFill="1" applyBorder="1" applyAlignment="1" applyProtection="1">
      <alignment vertical="center"/>
      <protection hidden="1"/>
    </xf>
    <xf numFmtId="0" fontId="0" fillId="3" borderId="23" xfId="17" applyNumberFormat="1" applyFont="1" applyFill="1" applyBorder="1" applyAlignment="1" applyProtection="1">
      <alignment vertical="center"/>
      <protection hidden="1"/>
    </xf>
    <xf numFmtId="37" fontId="0" fillId="4" borderId="0" xfId="0" applyNumberFormat="1" applyFont="1" applyFill="1" applyAlignment="1">
      <alignment vertical="center"/>
    </xf>
    <xf numFmtId="37" fontId="3" fillId="4" borderId="0" xfId="0" applyNumberFormat="1" applyFont="1" applyFill="1" applyAlignment="1">
      <alignment vertical="center"/>
    </xf>
    <xf numFmtId="37" fontId="1" fillId="4" borderId="0" xfId="0" applyNumberFormat="1" applyFont="1" applyFill="1" applyAlignment="1">
      <alignment vertical="center"/>
    </xf>
    <xf numFmtId="37" fontId="0" fillId="4" borderId="0" xfId="0" applyNumberFormat="1" applyFont="1" applyFill="1" applyBorder="1" applyAlignment="1">
      <alignment horizontal="center" vertical="center"/>
    </xf>
    <xf numFmtId="15" fontId="0" fillId="4" borderId="0" xfId="0" applyNumberFormat="1" applyFont="1" applyFill="1" applyBorder="1" applyAlignment="1">
      <alignment vertical="center"/>
    </xf>
    <xf numFmtId="37" fontId="1" fillId="4" borderId="0" xfId="0" applyNumberFormat="1" applyFont="1" applyFill="1" applyBorder="1" applyAlignment="1">
      <alignment vertical="center"/>
    </xf>
    <xf numFmtId="37" fontId="1" fillId="4" borderId="0" xfId="0" applyNumberFormat="1" applyFont="1" applyFill="1" applyBorder="1" applyAlignment="1">
      <alignment horizontal="center" vertical="center"/>
    </xf>
    <xf numFmtId="37" fontId="0" fillId="4" borderId="0" xfId="0" applyNumberFormat="1" applyFont="1" applyFill="1" applyAlignment="1">
      <alignment horizontal="centerContinuous" vertical="center"/>
    </xf>
    <xf numFmtId="37" fontId="0" fillId="5" borderId="0" xfId="0" applyNumberFormat="1" applyFont="1" applyFill="1" applyAlignment="1">
      <alignment vertical="center"/>
    </xf>
    <xf numFmtId="37" fontId="0" fillId="5" borderId="0" xfId="0" applyNumberFormat="1" applyFont="1" applyFill="1" applyAlignment="1">
      <alignment horizontal="centerContinuous" vertical="center"/>
    </xf>
    <xf numFmtId="37" fontId="1" fillId="3" borderId="4" xfId="0" applyNumberFormat="1" applyFont="1" applyFill="1" applyBorder="1" applyAlignment="1">
      <alignment vertical="center"/>
    </xf>
    <xf numFmtId="37" fontId="1" fillId="3" borderId="0" xfId="0" applyNumberFormat="1" applyFont="1" applyFill="1" applyBorder="1" applyAlignment="1">
      <alignment vertical="center"/>
    </xf>
    <xf numFmtId="185" fontId="8" fillId="3" borderId="0" xfId="0" applyNumberFormat="1" applyFont="1" applyFill="1" applyAlignment="1" applyProtection="1">
      <alignment horizontal="right" vertical="center"/>
      <protection locked="0"/>
    </xf>
    <xf numFmtId="37" fontId="1" fillId="3" borderId="0" xfId="0" applyNumberFormat="1" applyFont="1" applyFill="1" applyAlignment="1">
      <alignment vertical="center"/>
    </xf>
    <xf numFmtId="4" fontId="1" fillId="3" borderId="0" xfId="0" applyNumberFormat="1" applyFont="1" applyFill="1" applyAlignment="1">
      <alignment vertical="center"/>
    </xf>
    <xf numFmtId="4" fontId="0" fillId="3" borderId="11" xfId="17" applyNumberFormat="1" applyFont="1" applyFill="1" applyBorder="1" applyAlignment="1" applyProtection="1">
      <alignment vertical="center"/>
      <protection hidden="1"/>
    </xf>
    <xf numFmtId="4" fontId="47" fillId="6" borderId="12" xfId="17" applyNumberFormat="1" applyFont="1" applyFill="1" applyBorder="1" applyAlignment="1" applyProtection="1">
      <alignment vertical="center"/>
      <protection hidden="1"/>
    </xf>
    <xf numFmtId="4" fontId="47" fillId="6" borderId="12" xfId="17" applyNumberFormat="1" applyFont="1" applyFill="1" applyBorder="1" applyAlignment="1" applyProtection="1">
      <alignment horizontal="center" vertical="center"/>
      <protection hidden="1"/>
    </xf>
    <xf numFmtId="4" fontId="0" fillId="3" borderId="24" xfId="17" applyNumberFormat="1" applyFont="1" applyFill="1" applyBorder="1" applyAlignment="1" applyProtection="1">
      <alignment vertical="center"/>
      <protection hidden="1"/>
    </xf>
    <xf numFmtId="4" fontId="17" fillId="3" borderId="22" xfId="17" applyNumberFormat="1" applyFont="1" applyFill="1" applyBorder="1" applyAlignment="1" applyProtection="1">
      <alignment vertical="center"/>
      <protection hidden="1"/>
    </xf>
    <xf numFmtId="0" fontId="0" fillId="3" borderId="25" xfId="17" applyNumberFormat="1" applyFont="1" applyFill="1" applyBorder="1" applyAlignment="1" applyProtection="1">
      <alignment vertical="center"/>
      <protection hidden="1"/>
    </xf>
    <xf numFmtId="0" fontId="0" fillId="3" borderId="26" xfId="17" applyNumberFormat="1" applyFont="1" applyFill="1" applyBorder="1" applyAlignment="1" applyProtection="1">
      <alignment vertical="center"/>
      <protection hidden="1"/>
    </xf>
    <xf numFmtId="0" fontId="0" fillId="3" borderId="27" xfId="17" applyNumberFormat="1" applyFont="1" applyFill="1" applyBorder="1" applyAlignment="1" applyProtection="1">
      <alignment vertical="center"/>
      <protection hidden="1"/>
    </xf>
    <xf numFmtId="0" fontId="1" fillId="3" borderId="26" xfId="17" applyNumberFormat="1" applyFont="1" applyFill="1" applyBorder="1" applyAlignment="1" applyProtection="1">
      <alignment vertical="center"/>
      <protection hidden="1"/>
    </xf>
    <xf numFmtId="0" fontId="33" fillId="3" borderId="26" xfId="18" applyNumberFormat="1" applyFont="1" applyFill="1" applyBorder="1" applyAlignment="1" applyProtection="1">
      <alignment vertical="center"/>
      <protection hidden="1"/>
    </xf>
    <xf numFmtId="0" fontId="1" fillId="3" borderId="28" xfId="17" applyNumberFormat="1" applyFont="1" applyFill="1" applyBorder="1" applyAlignment="1" applyProtection="1">
      <alignment vertical="center"/>
      <protection hidden="1"/>
    </xf>
    <xf numFmtId="0" fontId="1" fillId="3" borderId="29" xfId="17" applyNumberFormat="1" applyFont="1" applyFill="1" applyBorder="1" applyAlignment="1" applyProtection="1">
      <alignment horizontal="center" vertical="center"/>
      <protection hidden="1"/>
    </xf>
    <xf numFmtId="0" fontId="1" fillId="3" borderId="29" xfId="17" applyNumberFormat="1" applyFont="1" applyFill="1" applyBorder="1" applyAlignment="1" applyProtection="1">
      <alignment vertical="center"/>
      <protection hidden="1"/>
    </xf>
    <xf numFmtId="0" fontId="2" fillId="3" borderId="29" xfId="18" applyNumberFormat="1" applyFont="1" applyFill="1" applyBorder="1" applyAlignment="1" applyProtection="1">
      <alignment vertical="center"/>
      <protection hidden="1"/>
    </xf>
    <xf numFmtId="0" fontId="0" fillId="3" borderId="30" xfId="17" applyNumberFormat="1" applyFont="1" applyFill="1" applyBorder="1" applyAlignment="1" applyProtection="1">
      <alignment vertical="center"/>
      <protection hidden="1"/>
    </xf>
    <xf numFmtId="0" fontId="14" fillId="3" borderId="31" xfId="17" applyNumberFormat="1" applyFont="1" applyFill="1" applyBorder="1" applyAlignment="1" applyProtection="1">
      <alignment vertical="center"/>
      <protection hidden="1"/>
    </xf>
    <xf numFmtId="37" fontId="6" fillId="0" borderId="32" xfId="0" applyNumberFormat="1" applyFont="1" applyFill="1" applyBorder="1" applyAlignment="1" applyProtection="1">
      <alignment vertical="center"/>
      <protection hidden="1"/>
    </xf>
    <xf numFmtId="37" fontId="0" fillId="0" borderId="33" xfId="0" applyNumberFormat="1" applyFont="1" applyFill="1" applyBorder="1" applyAlignment="1">
      <alignment/>
    </xf>
    <xf numFmtId="37" fontId="1" fillId="0" borderId="33" xfId="0" applyNumberFormat="1" applyFont="1" applyFill="1" applyBorder="1" applyAlignment="1" applyProtection="1">
      <alignment/>
      <protection hidden="1"/>
    </xf>
    <xf numFmtId="37" fontId="0" fillId="0" borderId="34" xfId="0" applyNumberFormat="1" applyFont="1" applyFill="1" applyBorder="1" applyAlignment="1">
      <alignment/>
    </xf>
    <xf numFmtId="37" fontId="0" fillId="0" borderId="35" xfId="0" applyNumberFormat="1" applyFont="1" applyFill="1" applyBorder="1" applyAlignment="1">
      <alignment/>
    </xf>
    <xf numFmtId="37" fontId="0" fillId="0" borderId="36" xfId="0" applyNumberFormat="1" applyFont="1" applyFill="1" applyBorder="1" applyAlignment="1">
      <alignment/>
    </xf>
    <xf numFmtId="37" fontId="17" fillId="0" borderId="35" xfId="0" applyNumberFormat="1" applyFont="1" applyFill="1" applyBorder="1" applyAlignment="1" applyProtection="1">
      <alignment vertical="center"/>
      <protection hidden="1"/>
    </xf>
    <xf numFmtId="37" fontId="36" fillId="0" borderId="0" xfId="0" applyNumberFormat="1" applyFont="1" applyFill="1" applyBorder="1" applyAlignment="1" applyProtection="1">
      <alignment horizontal="right" vertical="center"/>
      <protection hidden="1"/>
    </xf>
    <xf numFmtId="37" fontId="19" fillId="0" borderId="37" xfId="0" applyNumberFormat="1" applyFont="1" applyFill="1" applyBorder="1" applyAlignment="1" applyProtection="1">
      <alignment vertical="center"/>
      <protection hidden="1"/>
    </xf>
    <xf numFmtId="37" fontId="17" fillId="0" borderId="35" xfId="0" applyNumberFormat="1" applyFont="1" applyFill="1" applyBorder="1" applyAlignment="1">
      <alignment/>
    </xf>
    <xf numFmtId="44" fontId="18" fillId="0" borderId="0" xfId="0" applyNumberFormat="1" applyFont="1" applyFill="1" applyBorder="1" applyAlignment="1">
      <alignment/>
    </xf>
    <xf numFmtId="37" fontId="21" fillId="0" borderId="0" xfId="0" applyNumberFormat="1" applyFont="1" applyFill="1" applyBorder="1" applyAlignment="1">
      <alignment/>
    </xf>
    <xf numFmtId="37" fontId="15" fillId="0" borderId="0" xfId="0" applyNumberFormat="1" applyFont="1" applyFill="1" applyBorder="1" applyAlignment="1">
      <alignment/>
    </xf>
    <xf numFmtId="37" fontId="24" fillId="0" borderId="35" xfId="0" applyNumberFormat="1" applyFont="1" applyFill="1" applyBorder="1" applyAlignment="1" applyProtection="1">
      <alignment horizontal="right"/>
      <protection hidden="1"/>
    </xf>
    <xf numFmtId="37" fontId="45" fillId="0" borderId="0" xfId="0" applyNumberFormat="1" applyFont="1" applyFill="1" applyBorder="1" applyAlignment="1" applyProtection="1">
      <alignment/>
      <protection hidden="1"/>
    </xf>
    <xf numFmtId="37" fontId="22" fillId="0" borderId="0" xfId="0" applyNumberFormat="1" applyFont="1" applyFill="1" applyBorder="1" applyAlignment="1">
      <alignment/>
    </xf>
    <xf numFmtId="37" fontId="45" fillId="0" borderId="0" xfId="0" applyNumberFormat="1" applyFont="1" applyFill="1" applyBorder="1" applyAlignment="1" applyProtection="1" quotePrefix="1">
      <alignment/>
      <protection hidden="1"/>
    </xf>
    <xf numFmtId="37" fontId="22" fillId="0" borderId="0" xfId="0" applyNumberFormat="1" applyFont="1" applyFill="1" applyBorder="1" applyAlignment="1" quotePrefix="1">
      <alignment/>
    </xf>
    <xf numFmtId="37" fontId="0" fillId="0" borderId="38" xfId="0" applyNumberFormat="1" applyFont="1" applyFill="1" applyBorder="1" applyAlignment="1">
      <alignment/>
    </xf>
    <xf numFmtId="37" fontId="15" fillId="0" borderId="39" xfId="0" applyNumberFormat="1" applyFont="1" applyFill="1" applyBorder="1" applyAlignment="1">
      <alignment/>
    </xf>
    <xf numFmtId="37" fontId="0" fillId="0" borderId="39" xfId="0" applyNumberFormat="1" applyFont="1" applyFill="1" applyBorder="1" applyAlignment="1">
      <alignment/>
    </xf>
    <xf numFmtId="44" fontId="19" fillId="0" borderId="39" xfId="0" applyNumberFormat="1" applyFont="1" applyFill="1" applyBorder="1" applyAlignment="1">
      <alignment/>
    </xf>
    <xf numFmtId="37" fontId="0" fillId="0" borderId="40" xfId="0" applyNumberFormat="1" applyFont="1" applyFill="1" applyBorder="1" applyAlignment="1">
      <alignment/>
    </xf>
    <xf numFmtId="0" fontId="0" fillId="3" borderId="41" xfId="17" applyNumberFormat="1" applyFont="1" applyFill="1" applyBorder="1" applyAlignment="1" applyProtection="1">
      <alignment vertical="center"/>
      <protection hidden="1"/>
    </xf>
    <xf numFmtId="0" fontId="0" fillId="3" borderId="4" xfId="17" applyNumberFormat="1" applyFont="1" applyFill="1" applyBorder="1" applyAlignment="1" applyProtection="1">
      <alignment vertical="center"/>
      <protection hidden="1"/>
    </xf>
    <xf numFmtId="0" fontId="0" fillId="3" borderId="4" xfId="17" applyNumberFormat="1" applyFont="1" applyFill="1" applyBorder="1" applyAlignment="1" applyProtection="1">
      <alignment horizontal="right" vertical="center"/>
      <protection hidden="1"/>
    </xf>
    <xf numFmtId="0" fontId="4" fillId="3" borderId="4" xfId="17" applyNumberFormat="1" applyFont="1" applyFill="1" applyBorder="1" applyAlignment="1" applyProtection="1">
      <alignment horizontal="left" vertical="center"/>
      <protection hidden="1"/>
    </xf>
    <xf numFmtId="2" fontId="0" fillId="3" borderId="4" xfId="17" applyNumberFormat="1" applyFont="1" applyFill="1" applyBorder="1" applyAlignment="1" applyProtection="1">
      <alignment vertical="center"/>
      <protection hidden="1"/>
    </xf>
    <xf numFmtId="0" fontId="0" fillId="3" borderId="5" xfId="17" applyNumberFormat="1" applyFont="1" applyFill="1" applyBorder="1" applyAlignment="1" applyProtection="1">
      <alignment vertical="center"/>
      <protection hidden="1"/>
    </xf>
    <xf numFmtId="0" fontId="2" fillId="3" borderId="16" xfId="17" applyNumberFormat="1" applyFont="1" applyFill="1" applyBorder="1" applyAlignment="1" applyProtection="1">
      <alignment vertical="center"/>
      <protection hidden="1"/>
    </xf>
    <xf numFmtId="37" fontId="13" fillId="3" borderId="0" xfId="18" applyNumberFormat="1" applyFont="1" applyFill="1" applyBorder="1" applyAlignment="1" applyProtection="1">
      <alignment vertical="center"/>
      <protection hidden="1"/>
    </xf>
    <xf numFmtId="37" fontId="1" fillId="3" borderId="0" xfId="0" applyNumberFormat="1" applyFont="1" applyFill="1" applyBorder="1" applyAlignment="1" applyProtection="1">
      <alignment vertical="center"/>
      <protection hidden="1"/>
    </xf>
    <xf numFmtId="2" fontId="1" fillId="3" borderId="0" xfId="17" applyNumberFormat="1" applyFont="1" applyFill="1" applyBorder="1" applyAlignment="1" applyProtection="1">
      <alignment vertical="center"/>
      <protection hidden="1"/>
    </xf>
    <xf numFmtId="0" fontId="0" fillId="5" borderId="13" xfId="18" applyNumberFormat="1" applyFont="1" applyFill="1" applyBorder="1" applyAlignment="1">
      <alignment vertical="center"/>
      <protection/>
    </xf>
    <xf numFmtId="0" fontId="0" fillId="5" borderId="0" xfId="18" applyNumberFormat="1" applyFont="1" applyFill="1" applyBorder="1" applyAlignment="1">
      <alignment vertical="center"/>
      <protection/>
    </xf>
    <xf numFmtId="0" fontId="0" fillId="5" borderId="42" xfId="18" applyNumberFormat="1" applyFont="1" applyFill="1" applyBorder="1" applyAlignment="1">
      <alignment vertical="center"/>
      <protection/>
    </xf>
    <xf numFmtId="2" fontId="0" fillId="3" borderId="6" xfId="17" applyNumberFormat="1" applyFont="1" applyFill="1" applyBorder="1" applyAlignment="1" applyProtection="1">
      <alignment horizontal="center" vertical="center"/>
      <protection hidden="1"/>
    </xf>
    <xf numFmtId="0" fontId="0" fillId="3" borderId="6" xfId="17" applyNumberFormat="1" applyFont="1" applyFill="1" applyBorder="1" applyAlignment="1" applyProtection="1">
      <alignment horizontal="center" vertical="center"/>
      <protection hidden="1"/>
    </xf>
    <xf numFmtId="2" fontId="0" fillId="3" borderId="10" xfId="17" applyNumberFormat="1" applyFont="1" applyFill="1" applyBorder="1" applyAlignment="1" applyProtection="1">
      <alignment horizontal="center" vertical="center"/>
      <protection hidden="1"/>
    </xf>
    <xf numFmtId="0" fontId="0" fillId="3" borderId="10" xfId="17" applyNumberFormat="1" applyFont="1" applyFill="1" applyBorder="1" applyAlignment="1" applyProtection="1">
      <alignment horizontal="center" vertical="center"/>
      <protection hidden="1"/>
    </xf>
    <xf numFmtId="0" fontId="1" fillId="3" borderId="10" xfId="17" applyNumberFormat="1" applyFont="1" applyFill="1" applyBorder="1" applyAlignment="1" applyProtection="1">
      <alignment horizontal="center" vertical="center"/>
      <protection hidden="1"/>
    </xf>
    <xf numFmtId="2" fontId="0" fillId="3" borderId="10" xfId="17" applyNumberFormat="1" applyFont="1" applyFill="1" applyBorder="1" applyAlignment="1" applyProtection="1">
      <alignment vertical="center"/>
      <protection hidden="1"/>
    </xf>
    <xf numFmtId="2" fontId="0" fillId="3" borderId="14" xfId="17" applyNumberFormat="1" applyFont="1" applyFill="1" applyBorder="1" applyAlignment="1" applyProtection="1">
      <alignment vertical="center"/>
      <protection hidden="1"/>
    </xf>
    <xf numFmtId="0" fontId="47" fillId="6" borderId="43" xfId="17" applyNumberFormat="1" applyFont="1" applyFill="1" applyBorder="1" applyAlignment="1" applyProtection="1">
      <alignment horizontal="center" vertical="center"/>
      <protection hidden="1"/>
    </xf>
    <xf numFmtId="0" fontId="47" fillId="6" borderId="44" xfId="17" applyNumberFormat="1" applyFont="1" applyFill="1" applyBorder="1" applyAlignment="1" applyProtection="1">
      <alignment horizontal="center" vertical="center"/>
      <protection hidden="1"/>
    </xf>
    <xf numFmtId="0" fontId="47" fillId="6" borderId="44" xfId="17" applyNumberFormat="1" applyFont="1" applyFill="1" applyBorder="1" applyAlignment="1" applyProtection="1">
      <alignment vertical="center"/>
      <protection hidden="1"/>
    </xf>
    <xf numFmtId="4" fontId="47" fillId="6" borderId="44" xfId="17" applyNumberFormat="1" applyFont="1" applyFill="1" applyBorder="1" applyAlignment="1" applyProtection="1">
      <alignment vertical="center"/>
      <protection hidden="1"/>
    </xf>
    <xf numFmtId="0" fontId="47" fillId="6" borderId="45" xfId="17" applyNumberFormat="1" applyFont="1" applyFill="1" applyBorder="1" applyAlignment="1" applyProtection="1">
      <alignment vertical="center"/>
      <protection hidden="1"/>
    </xf>
    <xf numFmtId="0" fontId="0" fillId="3" borderId="46" xfId="17" applyNumberFormat="1" applyFont="1" applyFill="1" applyBorder="1" applyAlignment="1" applyProtection="1">
      <alignment vertical="center"/>
      <protection hidden="1"/>
    </xf>
    <xf numFmtId="0" fontId="0" fillId="3" borderId="47" xfId="17" applyNumberFormat="1" applyFont="1" applyFill="1" applyBorder="1" applyAlignment="1" applyProtection="1">
      <alignment vertical="center"/>
      <protection hidden="1"/>
    </xf>
    <xf numFmtId="0" fontId="0" fillId="3" borderId="47" xfId="17" applyNumberFormat="1" applyFont="1" applyFill="1" applyBorder="1" applyAlignment="1" applyProtection="1">
      <alignment horizontal="center" vertical="center"/>
      <protection hidden="1"/>
    </xf>
    <xf numFmtId="4" fontId="0" fillId="3" borderId="47" xfId="17" applyNumberFormat="1" applyFont="1" applyFill="1" applyBorder="1" applyAlignment="1" applyProtection="1">
      <alignment vertical="center"/>
      <protection hidden="1"/>
    </xf>
    <xf numFmtId="0" fontId="0" fillId="3" borderId="48" xfId="17" applyNumberFormat="1" applyFont="1" applyFill="1" applyBorder="1" applyAlignment="1" applyProtection="1">
      <alignment vertical="center"/>
      <protection hidden="1"/>
    </xf>
    <xf numFmtId="10" fontId="1" fillId="3" borderId="49" xfId="0" applyNumberFormat="1" applyFont="1" applyFill="1" applyBorder="1" applyAlignment="1">
      <alignment vertical="center"/>
    </xf>
    <xf numFmtId="37" fontId="0" fillId="3" borderId="32" xfId="0" applyNumberFormat="1" applyFont="1" applyFill="1" applyBorder="1" applyAlignment="1" applyProtection="1">
      <alignment vertical="center"/>
      <protection hidden="1"/>
    </xf>
    <xf numFmtId="37" fontId="0" fillId="3" borderId="33" xfId="0" applyNumberFormat="1" applyFont="1" applyFill="1" applyBorder="1" applyAlignment="1" applyProtection="1">
      <alignment vertical="center"/>
      <protection hidden="1"/>
    </xf>
    <xf numFmtId="37" fontId="14" fillId="3" borderId="35" xfId="0" applyNumberFormat="1" applyFont="1" applyFill="1" applyBorder="1" applyAlignment="1" applyProtection="1">
      <alignment vertical="center"/>
      <protection hidden="1"/>
    </xf>
    <xf numFmtId="37" fontId="0" fillId="3" borderId="0" xfId="0" applyNumberFormat="1" applyFont="1" applyFill="1" applyBorder="1" applyAlignment="1" applyProtection="1">
      <alignment vertical="center"/>
      <protection hidden="1"/>
    </xf>
    <xf numFmtId="37" fontId="3" fillId="3" borderId="35" xfId="0" applyNumberFormat="1" applyFont="1" applyFill="1" applyBorder="1" applyAlignment="1" applyProtection="1">
      <alignment vertical="center"/>
      <protection hidden="1"/>
    </xf>
    <xf numFmtId="185" fontId="11" fillId="3" borderId="0" xfId="0" applyNumberFormat="1" applyFont="1" applyFill="1" applyBorder="1" applyAlignment="1" applyProtection="1">
      <alignment horizontal="right" vertical="center"/>
      <protection hidden="1"/>
    </xf>
    <xf numFmtId="185" fontId="11" fillId="3" borderId="0" xfId="0" applyNumberFormat="1" applyFont="1" applyFill="1" applyBorder="1" applyAlignment="1" applyProtection="1">
      <alignment horizontal="left" vertical="center"/>
      <protection hidden="1"/>
    </xf>
    <xf numFmtId="37" fontId="0" fillId="3" borderId="35" xfId="0" applyNumberFormat="1" applyFont="1" applyFill="1" applyBorder="1" applyAlignment="1" applyProtection="1">
      <alignment vertical="center"/>
      <protection hidden="1"/>
    </xf>
    <xf numFmtId="37" fontId="14" fillId="3" borderId="50" xfId="0" applyNumberFormat="1" applyFont="1" applyFill="1" applyBorder="1" applyAlignment="1" applyProtection="1">
      <alignment vertical="center"/>
      <protection hidden="1"/>
    </xf>
    <xf numFmtId="37" fontId="1" fillId="3" borderId="17" xfId="0" applyNumberFormat="1" applyFont="1" applyFill="1" applyBorder="1" applyAlignment="1" applyProtection="1">
      <alignment vertical="center"/>
      <protection hidden="1"/>
    </xf>
    <xf numFmtId="37" fontId="1" fillId="3" borderId="51" xfId="0" applyNumberFormat="1" applyFont="1" applyFill="1" applyBorder="1" applyAlignment="1" applyProtection="1">
      <alignment vertical="center"/>
      <protection hidden="1"/>
    </xf>
    <xf numFmtId="37" fontId="1" fillId="3" borderId="52" xfId="0" applyNumberFormat="1" applyFont="1" applyFill="1" applyBorder="1" applyAlignment="1" applyProtection="1">
      <alignment vertical="center"/>
      <protection hidden="1"/>
    </xf>
    <xf numFmtId="37" fontId="1" fillId="3" borderId="53" xfId="0" applyNumberFormat="1" applyFont="1" applyFill="1" applyBorder="1" applyAlignment="1" applyProtection="1">
      <alignment horizontal="center" vertical="center"/>
      <protection hidden="1"/>
    </xf>
    <xf numFmtId="37" fontId="1" fillId="3" borderId="54" xfId="0" applyNumberFormat="1" applyFont="1" applyFill="1" applyBorder="1" applyAlignment="1" applyProtection="1">
      <alignment horizontal="center" vertical="center"/>
      <protection hidden="1"/>
    </xf>
    <xf numFmtId="37" fontId="1" fillId="3" borderId="55" xfId="0" applyNumberFormat="1" applyFont="1" applyFill="1" applyBorder="1" applyAlignment="1" applyProtection="1">
      <alignment horizontal="center" vertical="center"/>
      <protection hidden="1"/>
    </xf>
    <xf numFmtId="37" fontId="1" fillId="3" borderId="4" xfId="0" applyNumberFormat="1" applyFont="1" applyFill="1" applyBorder="1" applyAlignment="1" applyProtection="1">
      <alignment horizontal="center" vertical="center"/>
      <protection hidden="1"/>
    </xf>
    <xf numFmtId="37" fontId="1" fillId="3" borderId="35" xfId="0" applyNumberFormat="1" applyFont="1" applyFill="1" applyBorder="1" applyAlignment="1" applyProtection="1">
      <alignment horizontal="center" vertical="center"/>
      <protection hidden="1"/>
    </xf>
    <xf numFmtId="37" fontId="1" fillId="3" borderId="56" xfId="0" applyNumberFormat="1" applyFont="1" applyFill="1" applyBorder="1" applyAlignment="1" applyProtection="1">
      <alignment horizontal="center" vertical="center"/>
      <protection hidden="1"/>
    </xf>
    <xf numFmtId="37" fontId="1" fillId="3" borderId="57" xfId="0" applyNumberFormat="1" applyFont="1" applyFill="1" applyBorder="1" applyAlignment="1" applyProtection="1">
      <alignment horizontal="center" vertical="center"/>
      <protection hidden="1"/>
    </xf>
    <xf numFmtId="37" fontId="1" fillId="3" borderId="58" xfId="0" applyNumberFormat="1" applyFont="1" applyFill="1" applyBorder="1" applyAlignment="1" applyProtection="1">
      <alignment horizontal="center" vertical="center"/>
      <protection hidden="1"/>
    </xf>
    <xf numFmtId="37" fontId="1" fillId="3" borderId="0" xfId="0" applyNumberFormat="1" applyFont="1" applyFill="1" applyBorder="1" applyAlignment="1" applyProtection="1">
      <alignment horizontal="center" vertical="center"/>
      <protection hidden="1"/>
    </xf>
    <xf numFmtId="37" fontId="1" fillId="3" borderId="59" xfId="0" applyNumberFormat="1" applyFont="1" applyFill="1" applyBorder="1" applyAlignment="1" applyProtection="1">
      <alignment vertical="center"/>
      <protection hidden="1"/>
    </xf>
    <xf numFmtId="37" fontId="1" fillId="3" borderId="60" xfId="0" applyNumberFormat="1" applyFont="1" applyFill="1" applyBorder="1" applyAlignment="1" applyProtection="1">
      <alignment horizontal="center" vertical="center"/>
      <protection hidden="1"/>
    </xf>
    <xf numFmtId="37" fontId="1" fillId="3" borderId="61" xfId="0" applyNumberFormat="1" applyFont="1" applyFill="1" applyBorder="1" applyAlignment="1" applyProtection="1">
      <alignment horizontal="center" vertical="center"/>
      <protection hidden="1"/>
    </xf>
    <xf numFmtId="37" fontId="1" fillId="3" borderId="17" xfId="0" applyNumberFormat="1" applyFont="1" applyFill="1" applyBorder="1" applyAlignment="1" applyProtection="1">
      <alignment horizontal="center" vertical="center"/>
      <protection hidden="1"/>
    </xf>
    <xf numFmtId="37" fontId="1" fillId="3" borderId="56" xfId="0" applyNumberFormat="1" applyFont="1" applyFill="1" applyBorder="1" applyAlignment="1" applyProtection="1">
      <alignment vertical="center"/>
      <protection hidden="1"/>
    </xf>
    <xf numFmtId="37" fontId="1" fillId="3" borderId="57" xfId="0" applyNumberFormat="1" applyFont="1" applyFill="1" applyBorder="1" applyAlignment="1" applyProtection="1">
      <alignment vertical="center"/>
      <protection hidden="1"/>
    </xf>
    <xf numFmtId="37" fontId="1" fillId="3" borderId="62" xfId="0" applyNumberFormat="1" applyFont="1" applyFill="1" applyBorder="1" applyAlignment="1" applyProtection="1">
      <alignment vertical="center"/>
      <protection hidden="1"/>
    </xf>
    <xf numFmtId="37" fontId="1" fillId="3" borderId="58" xfId="0" applyNumberFormat="1" applyFont="1" applyFill="1" applyBorder="1" applyAlignment="1" applyProtection="1">
      <alignment vertical="center"/>
      <protection hidden="1"/>
    </xf>
    <xf numFmtId="172" fontId="17" fillId="3" borderId="62" xfId="0" applyNumberFormat="1" applyFont="1" applyFill="1" applyBorder="1" applyAlignment="1" applyProtection="1">
      <alignment horizontal="center" vertical="center"/>
      <protection hidden="1"/>
    </xf>
    <xf numFmtId="172" fontId="17" fillId="3" borderId="58" xfId="0" applyNumberFormat="1" applyFont="1" applyFill="1" applyBorder="1" applyAlignment="1" applyProtection="1">
      <alignment horizontal="center" vertical="center"/>
      <protection hidden="1"/>
    </xf>
    <xf numFmtId="4" fontId="17" fillId="3" borderId="0" xfId="0" applyNumberFormat="1" applyFont="1" applyFill="1" applyBorder="1" applyAlignment="1" applyProtection="1">
      <alignment horizontal="center" vertical="center"/>
      <protection hidden="1"/>
    </xf>
    <xf numFmtId="37" fontId="2" fillId="3" borderId="35" xfId="0" applyNumberFormat="1" applyFont="1" applyFill="1" applyBorder="1" applyAlignment="1" applyProtection="1">
      <alignment vertical="center"/>
      <protection hidden="1"/>
    </xf>
    <xf numFmtId="37" fontId="2" fillId="3" borderId="35" xfId="0" applyNumberFormat="1" applyFont="1" applyFill="1" applyBorder="1" applyAlignment="1" applyProtection="1">
      <alignment horizontal="left" vertical="center"/>
      <protection hidden="1"/>
    </xf>
    <xf numFmtId="37" fontId="1" fillId="3" borderId="38" xfId="0" applyNumberFormat="1" applyFont="1" applyFill="1" applyBorder="1" applyAlignment="1" applyProtection="1">
      <alignment vertical="center"/>
      <protection hidden="1"/>
    </xf>
    <xf numFmtId="37" fontId="1" fillId="3" borderId="63" xfId="0" applyNumberFormat="1" applyFont="1" applyFill="1" applyBorder="1" applyAlignment="1" applyProtection="1">
      <alignment vertical="center"/>
      <protection hidden="1"/>
    </xf>
    <xf numFmtId="37" fontId="1" fillId="3" borderId="64" xfId="0" applyNumberFormat="1" applyFont="1" applyFill="1" applyBorder="1" applyAlignment="1" applyProtection="1">
      <alignment vertical="center"/>
      <protection hidden="1"/>
    </xf>
    <xf numFmtId="37" fontId="1" fillId="3" borderId="65" xfId="0" applyNumberFormat="1" applyFont="1" applyFill="1" applyBorder="1" applyAlignment="1" applyProtection="1">
      <alignment vertical="center"/>
      <protection hidden="1"/>
    </xf>
    <xf numFmtId="37" fontId="1" fillId="3" borderId="39" xfId="0" applyNumberFormat="1" applyFont="1" applyFill="1" applyBorder="1" applyAlignment="1" applyProtection="1">
      <alignment vertical="center"/>
      <protection hidden="1"/>
    </xf>
    <xf numFmtId="39" fontId="1" fillId="3" borderId="39" xfId="0" applyNumberFormat="1" applyFont="1" applyFill="1" applyBorder="1" applyAlignment="1" applyProtection="1">
      <alignment vertical="center"/>
      <protection hidden="1"/>
    </xf>
    <xf numFmtId="37" fontId="4" fillId="3" borderId="33" xfId="0" applyNumberFormat="1" applyFont="1" applyFill="1" applyBorder="1" applyAlignment="1" applyProtection="1">
      <alignment horizontal="left" vertical="center"/>
      <protection hidden="1"/>
    </xf>
    <xf numFmtId="37" fontId="0" fillId="3" borderId="34" xfId="0" applyNumberFormat="1" applyFont="1" applyFill="1" applyBorder="1" applyAlignment="1" applyProtection="1">
      <alignment horizontal="left" vertical="center"/>
      <protection hidden="1"/>
    </xf>
    <xf numFmtId="37" fontId="37" fillId="3" borderId="0" xfId="0" applyNumberFormat="1" applyFont="1" applyFill="1" applyBorder="1" applyAlignment="1" applyProtection="1">
      <alignment horizontal="center" vertical="center"/>
      <protection hidden="1"/>
    </xf>
    <xf numFmtId="37" fontId="0" fillId="3" borderId="36" xfId="0" applyNumberFormat="1" applyFont="1" applyFill="1" applyBorder="1" applyAlignment="1" applyProtection="1">
      <alignment vertical="center"/>
      <protection hidden="1"/>
    </xf>
    <xf numFmtId="185" fontId="12" fillId="3" borderId="0" xfId="0" applyNumberFormat="1" applyFont="1" applyFill="1" applyBorder="1" applyAlignment="1" applyProtection="1">
      <alignment horizontal="center" vertical="center"/>
      <protection hidden="1"/>
    </xf>
    <xf numFmtId="37" fontId="2" fillId="3" borderId="0" xfId="0" applyNumberFormat="1" applyFont="1" applyFill="1" applyBorder="1" applyAlignment="1" applyProtection="1">
      <alignment vertical="center"/>
      <protection hidden="1"/>
    </xf>
    <xf numFmtId="37" fontId="1" fillId="3" borderId="36" xfId="0" applyNumberFormat="1" applyFont="1" applyFill="1" applyBorder="1" applyAlignment="1" applyProtection="1">
      <alignment vertical="center"/>
      <protection hidden="1"/>
    </xf>
    <xf numFmtId="37" fontId="1" fillId="3" borderId="66" xfId="0" applyNumberFormat="1" applyFont="1" applyFill="1" applyBorder="1" applyAlignment="1" applyProtection="1">
      <alignment horizontal="center" vertical="center"/>
      <protection hidden="1"/>
    </xf>
    <xf numFmtId="37" fontId="1" fillId="3" borderId="67" xfId="0" applyNumberFormat="1" applyFont="1" applyFill="1" applyBorder="1" applyAlignment="1" applyProtection="1">
      <alignment horizontal="center" vertical="center"/>
      <protection hidden="1"/>
    </xf>
    <xf numFmtId="37" fontId="1" fillId="3" borderId="68" xfId="0" applyNumberFormat="1" applyFont="1" applyFill="1" applyBorder="1" applyAlignment="1" applyProtection="1">
      <alignment horizontal="center" vertical="center"/>
      <protection hidden="1"/>
    </xf>
    <xf numFmtId="37" fontId="1" fillId="3" borderId="67" xfId="0" applyNumberFormat="1" applyFont="1" applyFill="1" applyBorder="1" applyAlignment="1" applyProtection="1">
      <alignment vertical="center"/>
      <protection hidden="1"/>
    </xf>
    <xf numFmtId="4" fontId="1" fillId="3" borderId="67" xfId="0" applyNumberFormat="1" applyFont="1" applyFill="1" applyBorder="1" applyAlignment="1" applyProtection="1">
      <alignment vertical="center"/>
      <protection hidden="1"/>
    </xf>
    <xf numFmtId="37" fontId="1" fillId="3" borderId="69" xfId="0" applyNumberFormat="1" applyFont="1" applyFill="1" applyBorder="1" applyAlignment="1" applyProtection="1">
      <alignment vertical="center"/>
      <protection hidden="1"/>
    </xf>
    <xf numFmtId="37" fontId="1" fillId="3" borderId="41" xfId="0" applyNumberFormat="1" applyFont="1" applyFill="1" applyBorder="1" applyAlignment="1" applyProtection="1">
      <alignment horizontal="center" vertical="center"/>
      <protection hidden="1"/>
    </xf>
    <xf numFmtId="37" fontId="1" fillId="3" borderId="16" xfId="0" applyNumberFormat="1" applyFont="1" applyFill="1" applyBorder="1" applyAlignment="1" applyProtection="1">
      <alignment horizontal="center" vertical="center"/>
      <protection hidden="1"/>
    </xf>
    <xf numFmtId="37" fontId="1" fillId="3" borderId="70" xfId="0" applyNumberFormat="1" applyFont="1" applyFill="1" applyBorder="1" applyAlignment="1" applyProtection="1">
      <alignment horizontal="center" vertical="center"/>
      <protection hidden="1"/>
    </xf>
    <xf numFmtId="37" fontId="1" fillId="3" borderId="16" xfId="0" applyNumberFormat="1" applyFont="1" applyFill="1" applyBorder="1" applyAlignment="1" applyProtection="1">
      <alignment vertical="center"/>
      <protection hidden="1"/>
    </xf>
    <xf numFmtId="3" fontId="1" fillId="3" borderId="16" xfId="0" applyNumberFormat="1" applyFont="1" applyFill="1" applyBorder="1" applyAlignment="1" applyProtection="1">
      <alignment vertical="center"/>
      <protection hidden="1"/>
    </xf>
    <xf numFmtId="3" fontId="1" fillId="3" borderId="0" xfId="0" applyNumberFormat="1" applyFont="1" applyFill="1" applyBorder="1" applyAlignment="1" applyProtection="1">
      <alignment horizontal="center" vertical="center"/>
      <protection hidden="1"/>
    </xf>
    <xf numFmtId="3" fontId="1" fillId="3" borderId="0" xfId="0" applyNumberFormat="1" applyFont="1" applyFill="1" applyBorder="1" applyAlignment="1" applyProtection="1">
      <alignment vertical="center"/>
      <protection hidden="1"/>
    </xf>
    <xf numFmtId="37" fontId="1" fillId="3" borderId="71" xfId="0" applyNumberFormat="1" applyFont="1" applyFill="1" applyBorder="1" applyAlignment="1" applyProtection="1">
      <alignment vertical="center"/>
      <protection hidden="1"/>
    </xf>
    <xf numFmtId="37" fontId="47" fillId="6" borderId="7" xfId="0" applyNumberFormat="1" applyFont="1" applyFill="1" applyBorder="1" applyAlignment="1" applyProtection="1">
      <alignment horizontal="center" vertical="center"/>
      <protection hidden="1"/>
    </xf>
    <xf numFmtId="37" fontId="47" fillId="6" borderId="8" xfId="0" applyNumberFormat="1" applyFont="1" applyFill="1" applyBorder="1" applyAlignment="1" applyProtection="1">
      <alignment horizontal="center" vertical="center"/>
      <protection hidden="1"/>
    </xf>
    <xf numFmtId="37" fontId="47" fillId="6" borderId="4" xfId="0" applyNumberFormat="1" applyFont="1" applyFill="1" applyBorder="1" applyAlignment="1" applyProtection="1">
      <alignment horizontal="center" vertical="center"/>
      <protection hidden="1"/>
    </xf>
    <xf numFmtId="37" fontId="47" fillId="6" borderId="11" xfId="0" applyNumberFormat="1" applyFont="1" applyFill="1" applyBorder="1" applyAlignment="1" applyProtection="1">
      <alignment horizontal="center" vertical="center"/>
      <protection hidden="1"/>
    </xf>
    <xf numFmtId="37" fontId="47" fillId="6" borderId="12" xfId="0" applyNumberFormat="1" applyFont="1" applyFill="1" applyBorder="1" applyAlignment="1" applyProtection="1">
      <alignment horizontal="center" vertical="center"/>
      <protection hidden="1"/>
    </xf>
    <xf numFmtId="37" fontId="47" fillId="6" borderId="0" xfId="0" applyNumberFormat="1" applyFont="1" applyFill="1" applyBorder="1" applyAlignment="1" applyProtection="1">
      <alignment horizontal="center" vertical="center"/>
      <protection hidden="1"/>
    </xf>
    <xf numFmtId="37" fontId="47" fillId="6" borderId="18" xfId="0" applyNumberFormat="1" applyFont="1" applyFill="1" applyBorder="1" applyAlignment="1" applyProtection="1">
      <alignment horizontal="center" vertical="center"/>
      <protection hidden="1"/>
    </xf>
    <xf numFmtId="37" fontId="47" fillId="6" borderId="17" xfId="0" applyNumberFormat="1" applyFont="1" applyFill="1" applyBorder="1" applyAlignment="1" applyProtection="1">
      <alignment horizontal="center" vertical="center"/>
      <protection hidden="1"/>
    </xf>
    <xf numFmtId="37" fontId="1" fillId="6" borderId="11" xfId="0" applyNumberFormat="1" applyFont="1" applyFill="1" applyBorder="1" applyAlignment="1" applyProtection="1">
      <alignment vertical="center"/>
      <protection hidden="1"/>
    </xf>
    <xf numFmtId="37" fontId="1" fillId="6" borderId="12" xfId="0" applyNumberFormat="1" applyFont="1" applyFill="1" applyBorder="1" applyAlignment="1" applyProtection="1">
      <alignment vertical="center"/>
      <protection hidden="1"/>
    </xf>
    <xf numFmtId="37" fontId="1" fillId="6" borderId="0" xfId="0" applyNumberFormat="1" applyFont="1" applyFill="1" applyBorder="1" applyAlignment="1" applyProtection="1">
      <alignment vertical="center"/>
      <protection hidden="1"/>
    </xf>
    <xf numFmtId="4" fontId="47" fillId="6" borderId="11" xfId="0" applyNumberFormat="1" applyFont="1" applyFill="1" applyBorder="1" applyAlignment="1" applyProtection="1">
      <alignment vertical="center"/>
      <protection hidden="1"/>
    </xf>
    <xf numFmtId="4" fontId="47" fillId="6" borderId="12" xfId="0" applyNumberFormat="1" applyFont="1" applyFill="1" applyBorder="1" applyAlignment="1" applyProtection="1">
      <alignment vertical="center"/>
      <protection hidden="1"/>
    </xf>
    <xf numFmtId="4" fontId="47" fillId="6" borderId="0" xfId="0" applyNumberFormat="1" applyFont="1" applyFill="1" applyBorder="1" applyAlignment="1" applyProtection="1">
      <alignment vertical="center"/>
      <protection hidden="1"/>
    </xf>
    <xf numFmtId="37" fontId="1" fillId="6" borderId="72" xfId="0" applyNumberFormat="1" applyFont="1" applyFill="1" applyBorder="1" applyAlignment="1" applyProtection="1">
      <alignment vertical="center"/>
      <protection hidden="1"/>
    </xf>
    <xf numFmtId="37" fontId="1" fillId="6" borderId="73" xfId="0" applyNumberFormat="1" applyFont="1" applyFill="1" applyBorder="1" applyAlignment="1" applyProtection="1">
      <alignment vertical="center"/>
      <protection hidden="1"/>
    </xf>
    <xf numFmtId="37" fontId="1" fillId="6" borderId="39" xfId="0" applyNumberFormat="1" applyFont="1" applyFill="1" applyBorder="1" applyAlignment="1" applyProtection="1">
      <alignment vertical="center"/>
      <protection hidden="1"/>
    </xf>
    <xf numFmtId="4" fontId="55" fillId="6" borderId="19" xfId="0" applyNumberFormat="1" applyFont="1" applyFill="1" applyBorder="1" applyAlignment="1" applyProtection="1">
      <alignment vertical="center"/>
      <protection hidden="1"/>
    </xf>
    <xf numFmtId="0" fontId="0" fillId="3" borderId="41" xfId="18" applyNumberFormat="1" applyFont="1" applyFill="1" applyBorder="1" applyAlignment="1" applyProtection="1">
      <alignment vertical="center"/>
      <protection hidden="1"/>
    </xf>
    <xf numFmtId="0" fontId="0" fillId="3" borderId="4" xfId="18" applyNumberFormat="1" applyFont="1" applyFill="1" applyBorder="1" applyAlignment="1" applyProtection="1">
      <alignment vertical="center"/>
      <protection hidden="1"/>
    </xf>
    <xf numFmtId="0" fontId="4" fillId="3" borderId="4" xfId="18" applyNumberFormat="1" applyFont="1" applyFill="1" applyBorder="1" applyAlignment="1" applyProtection="1">
      <alignment horizontal="left" vertical="center"/>
      <protection hidden="1"/>
    </xf>
    <xf numFmtId="0" fontId="0" fillId="3" borderId="5" xfId="18" applyNumberFormat="1" applyFont="1" applyFill="1" applyBorder="1" applyAlignment="1" applyProtection="1">
      <alignment vertical="center"/>
      <protection hidden="1"/>
    </xf>
    <xf numFmtId="0" fontId="0" fillId="3" borderId="16" xfId="18" applyNumberFormat="1" applyFont="1" applyFill="1" applyBorder="1" applyAlignment="1" applyProtection="1">
      <alignment vertical="center"/>
      <protection hidden="1"/>
    </xf>
    <xf numFmtId="0" fontId="0" fillId="3" borderId="0" xfId="18" applyNumberFormat="1" applyFont="1" applyFill="1" applyBorder="1" applyAlignment="1" applyProtection="1">
      <alignment vertical="center"/>
      <protection hidden="1"/>
    </xf>
    <xf numFmtId="0" fontId="0" fillId="3" borderId="15" xfId="18" applyNumberFormat="1" applyFont="1" applyFill="1" applyBorder="1" applyAlignment="1" applyProtection="1">
      <alignment vertical="center"/>
      <protection hidden="1"/>
    </xf>
    <xf numFmtId="0" fontId="14" fillId="3" borderId="31" xfId="18" applyNumberFormat="1" applyFont="1" applyFill="1" applyBorder="1" applyAlignment="1" applyProtection="1">
      <alignment vertical="center"/>
      <protection hidden="1"/>
    </xf>
    <xf numFmtId="0" fontId="1" fillId="3" borderId="0" xfId="18" applyNumberFormat="1" applyFont="1" applyFill="1" applyBorder="1" applyAlignment="1" applyProtection="1">
      <alignment vertical="center"/>
      <protection hidden="1"/>
    </xf>
    <xf numFmtId="0" fontId="1" fillId="3" borderId="41" xfId="18" applyNumberFormat="1" applyFont="1" applyFill="1" applyBorder="1" applyAlignment="1" applyProtection="1">
      <alignment vertical="center"/>
      <protection hidden="1"/>
    </xf>
    <xf numFmtId="0" fontId="0" fillId="3" borderId="52" xfId="18" applyNumberFormat="1" applyFont="1" applyFill="1" applyBorder="1" applyAlignment="1" applyProtection="1">
      <alignment horizontal="center" vertical="center"/>
      <protection hidden="1"/>
    </xf>
    <xf numFmtId="0" fontId="0" fillId="3" borderId="55" xfId="18" applyNumberFormat="1" applyFont="1" applyFill="1" applyBorder="1" applyAlignment="1" applyProtection="1">
      <alignment horizontal="center" vertical="center"/>
      <protection hidden="1"/>
    </xf>
    <xf numFmtId="0" fontId="0" fillId="3" borderId="4" xfId="18" applyNumberFormat="1" applyFont="1" applyFill="1" applyBorder="1" applyAlignment="1" applyProtection="1">
      <alignment horizontal="center" vertical="center"/>
      <protection hidden="1"/>
    </xf>
    <xf numFmtId="0" fontId="0" fillId="3" borderId="7" xfId="18" applyNumberFormat="1" applyFont="1" applyFill="1" applyBorder="1" applyAlignment="1" applyProtection="1">
      <alignment horizontal="center" vertical="center"/>
      <protection hidden="1"/>
    </xf>
    <xf numFmtId="0" fontId="0" fillId="3" borderId="5" xfId="18" applyNumberFormat="1" applyFont="1" applyFill="1" applyBorder="1" applyAlignment="1" applyProtection="1">
      <alignment horizontal="center" vertical="center"/>
      <protection hidden="1"/>
    </xf>
    <xf numFmtId="0" fontId="47" fillId="6" borderId="4" xfId="18" applyNumberFormat="1" applyFont="1" applyFill="1" applyBorder="1" applyAlignment="1" applyProtection="1">
      <alignment horizontal="center" vertical="center"/>
      <protection hidden="1"/>
    </xf>
    <xf numFmtId="0" fontId="47" fillId="6" borderId="8" xfId="18" applyNumberFormat="1" applyFont="1" applyFill="1" applyBorder="1" applyAlignment="1" applyProtection="1">
      <alignment horizontal="center" vertical="center"/>
      <protection hidden="1"/>
    </xf>
    <xf numFmtId="0" fontId="0" fillId="3" borderId="74" xfId="18" applyNumberFormat="1" applyFont="1" applyFill="1" applyBorder="1" applyAlignment="1" applyProtection="1">
      <alignment horizontal="center" vertical="center"/>
      <protection hidden="1"/>
    </xf>
    <xf numFmtId="0" fontId="0" fillId="3" borderId="21" xfId="18" applyNumberFormat="1" applyFont="1" applyFill="1" applyBorder="1" applyAlignment="1" applyProtection="1">
      <alignment horizontal="center" vertical="center"/>
      <protection hidden="1"/>
    </xf>
    <xf numFmtId="0" fontId="1" fillId="3" borderId="16" xfId="18" applyNumberFormat="1" applyFont="1" applyFill="1" applyBorder="1" applyAlignment="1" applyProtection="1">
      <alignment horizontal="center" vertical="center"/>
      <protection hidden="1"/>
    </xf>
    <xf numFmtId="0" fontId="0" fillId="3" borderId="56" xfId="18" applyNumberFormat="1" applyFont="1" applyFill="1" applyBorder="1" applyAlignment="1" applyProtection="1">
      <alignment horizontal="center" vertical="center"/>
      <protection hidden="1"/>
    </xf>
    <xf numFmtId="0" fontId="0" fillId="3" borderId="58" xfId="18" applyNumberFormat="1" applyFont="1" applyFill="1" applyBorder="1" applyAlignment="1" applyProtection="1">
      <alignment horizontal="center" vertical="center"/>
      <protection hidden="1"/>
    </xf>
    <xf numFmtId="0" fontId="0" fillId="3" borderId="11" xfId="18" applyNumberFormat="1" applyFont="1" applyFill="1" applyBorder="1" applyAlignment="1" applyProtection="1">
      <alignment horizontal="center" vertical="center"/>
      <protection hidden="1"/>
    </xf>
    <xf numFmtId="0" fontId="0" fillId="3" borderId="15" xfId="18" applyNumberFormat="1" applyFont="1" applyFill="1" applyBorder="1" applyAlignment="1" applyProtection="1">
      <alignment horizontal="center" vertical="center"/>
      <protection hidden="1"/>
    </xf>
    <xf numFmtId="0" fontId="47" fillId="6" borderId="0" xfId="18" applyNumberFormat="1" applyFont="1" applyFill="1" applyBorder="1" applyAlignment="1" applyProtection="1">
      <alignment horizontal="center" vertical="center"/>
      <protection hidden="1"/>
    </xf>
    <xf numFmtId="0" fontId="47" fillId="6" borderId="12" xfId="18" applyNumberFormat="1" applyFont="1" applyFill="1" applyBorder="1" applyAlignment="1" applyProtection="1">
      <alignment horizontal="center" vertical="center"/>
      <protection hidden="1"/>
    </xf>
    <xf numFmtId="0" fontId="0" fillId="3" borderId="24" xfId="18" applyNumberFormat="1" applyFont="1" applyFill="1" applyBorder="1" applyAlignment="1" applyProtection="1">
      <alignment horizontal="center" vertical="center"/>
      <protection hidden="1"/>
    </xf>
    <xf numFmtId="0" fontId="0" fillId="3" borderId="22" xfId="18" applyNumberFormat="1" applyFont="1" applyFill="1" applyBorder="1" applyAlignment="1" applyProtection="1">
      <alignment horizontal="center" vertical="center"/>
      <protection hidden="1"/>
    </xf>
    <xf numFmtId="0" fontId="1" fillId="3" borderId="70" xfId="18" applyNumberFormat="1" applyFont="1" applyFill="1" applyBorder="1" applyAlignment="1" applyProtection="1">
      <alignment vertical="center"/>
      <protection hidden="1"/>
    </xf>
    <xf numFmtId="0" fontId="0" fillId="3" borderId="59" xfId="18" applyNumberFormat="1" applyFont="1" applyFill="1" applyBorder="1" applyAlignment="1" applyProtection="1">
      <alignment horizontal="center" vertical="center"/>
      <protection hidden="1"/>
    </xf>
    <xf numFmtId="0" fontId="0" fillId="3" borderId="61" xfId="18" applyNumberFormat="1" applyFont="1" applyFill="1" applyBorder="1" applyAlignment="1" applyProtection="1">
      <alignment horizontal="center" vertical="center"/>
      <protection hidden="1"/>
    </xf>
    <xf numFmtId="0" fontId="14" fillId="3" borderId="61" xfId="18" applyNumberFormat="1" applyFont="1" applyFill="1" applyBorder="1" applyAlignment="1" applyProtection="1">
      <alignment horizontal="center" vertical="center"/>
      <protection hidden="1"/>
    </xf>
    <xf numFmtId="0" fontId="1" fillId="3" borderId="61" xfId="18" applyNumberFormat="1" applyFont="1" applyFill="1" applyBorder="1" applyAlignment="1" applyProtection="1">
      <alignment horizontal="center" vertical="center"/>
      <protection hidden="1"/>
    </xf>
    <xf numFmtId="0" fontId="0" fillId="3" borderId="17" xfId="18" applyNumberFormat="1" applyFont="1" applyFill="1" applyBorder="1" applyAlignment="1" applyProtection="1">
      <alignment vertical="center"/>
      <protection hidden="1"/>
    </xf>
    <xf numFmtId="0" fontId="0" fillId="3" borderId="18" xfId="18" applyNumberFormat="1" applyFont="1" applyFill="1" applyBorder="1" applyAlignment="1" applyProtection="1">
      <alignment horizontal="center" vertical="center"/>
      <protection hidden="1"/>
    </xf>
    <xf numFmtId="0" fontId="0" fillId="3" borderId="75" xfId="18" applyNumberFormat="1" applyFont="1" applyFill="1" applyBorder="1" applyAlignment="1" applyProtection="1">
      <alignment horizontal="center" vertical="center"/>
      <protection hidden="1"/>
    </xf>
    <xf numFmtId="0" fontId="47" fillId="6" borderId="17" xfId="18" applyNumberFormat="1" applyFont="1" applyFill="1" applyBorder="1" applyAlignment="1" applyProtection="1">
      <alignment horizontal="center" vertical="center"/>
      <protection hidden="1"/>
    </xf>
    <xf numFmtId="0" fontId="47" fillId="6" borderId="19" xfId="18" applyNumberFormat="1" applyFont="1" applyFill="1" applyBorder="1" applyAlignment="1" applyProtection="1">
      <alignment horizontal="center" vertical="center"/>
      <protection hidden="1"/>
    </xf>
    <xf numFmtId="0" fontId="0" fillId="3" borderId="23" xfId="18" applyNumberFormat="1" applyFont="1" applyFill="1" applyBorder="1" applyAlignment="1" applyProtection="1">
      <alignment horizontal="center" vertical="center"/>
      <protection hidden="1"/>
    </xf>
    <xf numFmtId="0" fontId="1" fillId="3" borderId="16" xfId="18" applyNumberFormat="1" applyFont="1" applyFill="1" applyBorder="1" applyAlignment="1" applyProtection="1">
      <alignment vertical="center"/>
      <protection hidden="1"/>
    </xf>
    <xf numFmtId="0" fontId="1" fillId="3" borderId="56" xfId="18" applyNumberFormat="1" applyFont="1" applyFill="1" applyBorder="1" applyAlignment="1" applyProtection="1">
      <alignment vertical="center"/>
      <protection hidden="1"/>
    </xf>
    <xf numFmtId="0" fontId="1" fillId="3" borderId="58" xfId="18" applyNumberFormat="1" applyFont="1" applyFill="1" applyBorder="1" applyAlignment="1" applyProtection="1">
      <alignment vertical="center"/>
      <protection hidden="1"/>
    </xf>
    <xf numFmtId="37" fontId="1" fillId="3" borderId="58" xfId="18" applyNumberFormat="1" applyFont="1" applyFill="1" applyBorder="1" applyAlignment="1" applyProtection="1">
      <alignment vertical="center"/>
      <protection hidden="1"/>
    </xf>
    <xf numFmtId="39" fontId="1" fillId="3" borderId="0" xfId="18" applyNumberFormat="1" applyFont="1" applyFill="1" applyBorder="1" applyAlignment="1" applyProtection="1">
      <alignment vertical="center"/>
      <protection hidden="1"/>
    </xf>
    <xf numFmtId="0" fontId="1" fillId="3" borderId="11" xfId="18" applyNumberFormat="1" applyFont="1" applyFill="1" applyBorder="1" applyAlignment="1" applyProtection="1">
      <alignment vertical="center"/>
      <protection hidden="1"/>
    </xf>
    <xf numFmtId="37" fontId="1" fillId="3" borderId="15" xfId="18" applyNumberFormat="1" applyFont="1" applyFill="1" applyBorder="1" applyAlignment="1" applyProtection="1">
      <alignment vertical="center"/>
      <protection hidden="1"/>
    </xf>
    <xf numFmtId="0" fontId="47" fillId="6" borderId="0" xfId="18" applyNumberFormat="1" applyFont="1" applyFill="1" applyBorder="1" applyAlignment="1" applyProtection="1">
      <alignment vertical="center"/>
      <protection hidden="1"/>
    </xf>
    <xf numFmtId="37" fontId="47" fillId="6" borderId="12" xfId="18" applyNumberFormat="1" applyFont="1" applyFill="1" applyBorder="1" applyAlignment="1" applyProtection="1">
      <alignment vertical="center"/>
      <protection hidden="1"/>
    </xf>
    <xf numFmtId="37" fontId="1" fillId="3" borderId="24" xfId="18" applyNumberFormat="1" applyFont="1" applyFill="1" applyBorder="1" applyAlignment="1" applyProtection="1">
      <alignment vertical="center"/>
      <protection hidden="1"/>
    </xf>
    <xf numFmtId="37" fontId="1" fillId="3" borderId="22" xfId="18" applyNumberFormat="1" applyFont="1" applyFill="1" applyBorder="1" applyAlignment="1" applyProtection="1">
      <alignment vertical="center"/>
      <protection hidden="1"/>
    </xf>
    <xf numFmtId="2" fontId="1" fillId="3" borderId="11" xfId="18" applyNumberFormat="1" applyFont="1" applyFill="1" applyBorder="1" applyAlignment="1" applyProtection="1">
      <alignment vertical="center"/>
      <protection hidden="1"/>
    </xf>
    <xf numFmtId="2" fontId="1" fillId="3" borderId="15" xfId="18" applyNumberFormat="1" applyFont="1" applyFill="1" applyBorder="1" applyAlignment="1" applyProtection="1">
      <alignment vertical="center"/>
      <protection hidden="1"/>
    </xf>
    <xf numFmtId="4" fontId="47" fillId="6" borderId="0" xfId="18" applyNumberFormat="1" applyFont="1" applyFill="1" applyBorder="1" applyAlignment="1" applyProtection="1">
      <alignment vertical="center"/>
      <protection hidden="1"/>
    </xf>
    <xf numFmtId="4" fontId="47" fillId="6" borderId="12" xfId="18" applyNumberFormat="1" applyFont="1" applyFill="1" applyBorder="1" applyAlignment="1" applyProtection="1">
      <alignment vertical="center"/>
      <protection hidden="1"/>
    </xf>
    <xf numFmtId="4" fontId="1" fillId="3" borderId="24" xfId="18" applyNumberFormat="1" applyFont="1" applyFill="1" applyBorder="1" applyAlignment="1" applyProtection="1">
      <alignment vertical="center"/>
      <protection hidden="1"/>
    </xf>
    <xf numFmtId="4" fontId="1" fillId="3" borderId="22" xfId="18" applyNumberFormat="1" applyFont="1" applyFill="1" applyBorder="1" applyAlignment="1" applyProtection="1">
      <alignment vertical="center"/>
      <protection hidden="1"/>
    </xf>
    <xf numFmtId="4" fontId="47" fillId="6" borderId="12" xfId="18" applyNumberFormat="1" applyFont="1" applyFill="1" applyBorder="1" applyAlignment="1" applyProtection="1">
      <alignment horizontal="center" vertical="center"/>
      <protection hidden="1"/>
    </xf>
    <xf numFmtId="37" fontId="1" fillId="3" borderId="18" xfId="18" applyNumberFormat="1" applyFont="1" applyFill="1" applyBorder="1" applyAlignment="1" applyProtection="1">
      <alignment vertical="center"/>
      <protection hidden="1"/>
    </xf>
    <xf numFmtId="37" fontId="1" fillId="3" borderId="75" xfId="18" applyNumberFormat="1" applyFont="1" applyFill="1" applyBorder="1" applyAlignment="1" applyProtection="1">
      <alignment vertical="center"/>
      <protection hidden="1"/>
    </xf>
    <xf numFmtId="0" fontId="47" fillId="6" borderId="17" xfId="18" applyNumberFormat="1" applyFont="1" applyFill="1" applyBorder="1" applyAlignment="1" applyProtection="1">
      <alignment vertical="center"/>
      <protection hidden="1"/>
    </xf>
    <xf numFmtId="37" fontId="47" fillId="6" borderId="19" xfId="18" applyNumberFormat="1" applyFont="1" applyFill="1" applyBorder="1" applyAlignment="1" applyProtection="1">
      <alignment vertical="center"/>
      <protection hidden="1"/>
    </xf>
    <xf numFmtId="37" fontId="1" fillId="3" borderId="76" xfId="18" applyNumberFormat="1" applyFont="1" applyFill="1" applyBorder="1" applyAlignment="1" applyProtection="1">
      <alignment vertical="center"/>
      <protection hidden="1"/>
    </xf>
    <xf numFmtId="37" fontId="1" fillId="3" borderId="23" xfId="18" applyNumberFormat="1" applyFont="1" applyFill="1" applyBorder="1" applyAlignment="1" applyProtection="1">
      <alignment vertical="center"/>
      <protection hidden="1"/>
    </xf>
    <xf numFmtId="37" fontId="1" fillId="3" borderId="61" xfId="18" applyNumberFormat="1" applyFont="1" applyFill="1" applyBorder="1" applyAlignment="1" applyProtection="1">
      <alignment vertical="center"/>
      <protection hidden="1"/>
    </xf>
    <xf numFmtId="39" fontId="1" fillId="3" borderId="17" xfId="18" applyNumberFormat="1" applyFont="1" applyFill="1" applyBorder="1" applyAlignment="1" applyProtection="1">
      <alignment vertical="center"/>
      <protection hidden="1"/>
    </xf>
    <xf numFmtId="0" fontId="1" fillId="3" borderId="59" xfId="18" applyNumberFormat="1" applyFont="1" applyFill="1" applyBorder="1" applyAlignment="1" applyProtection="1">
      <alignment vertical="center"/>
      <protection hidden="1"/>
    </xf>
    <xf numFmtId="172" fontId="1" fillId="3" borderId="61" xfId="18" applyNumberFormat="1" applyFont="1" applyFill="1" applyBorder="1" applyAlignment="1" applyProtection="1">
      <alignment vertical="center"/>
      <protection hidden="1"/>
    </xf>
    <xf numFmtId="37" fontId="14" fillId="3" borderId="62" xfId="0" applyNumberFormat="1" applyFont="1" applyFill="1" applyBorder="1" applyAlignment="1" applyProtection="1">
      <alignment horizontal="center" vertical="center"/>
      <protection hidden="1"/>
    </xf>
    <xf numFmtId="37" fontId="14" fillId="3" borderId="58" xfId="0" applyNumberFormat="1" applyFont="1" applyFill="1" applyBorder="1" applyAlignment="1" applyProtection="1">
      <alignment horizontal="center" vertical="center"/>
      <protection hidden="1"/>
    </xf>
    <xf numFmtId="37" fontId="14" fillId="3" borderId="77" xfId="0" applyNumberFormat="1" applyFont="1" applyFill="1" applyBorder="1" applyAlignment="1" applyProtection="1">
      <alignment horizontal="center" vertical="center"/>
      <protection hidden="1"/>
    </xf>
    <xf numFmtId="37" fontId="14" fillId="3" borderId="61" xfId="0" applyNumberFormat="1" applyFont="1" applyFill="1" applyBorder="1" applyAlignment="1" applyProtection="1">
      <alignment horizontal="center" vertical="center"/>
      <protection hidden="1"/>
    </xf>
    <xf numFmtId="37" fontId="16" fillId="3" borderId="78" xfId="0" applyNumberFormat="1" applyFont="1" applyFill="1" applyBorder="1" applyAlignment="1" applyProtection="1">
      <alignment horizontal="center" vertical="center"/>
      <protection hidden="1"/>
    </xf>
    <xf numFmtId="37" fontId="2" fillId="3" borderId="79" xfId="0" applyNumberFormat="1" applyFont="1" applyFill="1" applyBorder="1" applyAlignment="1" applyProtection="1">
      <alignment vertical="center"/>
      <protection hidden="1"/>
    </xf>
    <xf numFmtId="37" fontId="1" fillId="3" borderId="80" xfId="0" applyNumberFormat="1" applyFont="1" applyFill="1" applyBorder="1" applyAlignment="1" applyProtection="1">
      <alignment vertical="center"/>
      <protection hidden="1"/>
    </xf>
    <xf numFmtId="37" fontId="0" fillId="5" borderId="0" xfId="0" applyNumberFormat="1" applyFont="1" applyFill="1" applyBorder="1" applyAlignment="1">
      <alignment vertical="center"/>
    </xf>
    <xf numFmtId="37" fontId="17" fillId="3" borderId="58" xfId="0" applyFont="1" applyFill="1" applyBorder="1" applyAlignment="1" applyProtection="1">
      <alignment horizontal="center" vertical="center"/>
      <protection hidden="1"/>
    </xf>
    <xf numFmtId="0" fontId="1" fillId="3" borderId="81" xfId="18" applyNumberFormat="1" applyFont="1" applyFill="1" applyBorder="1" applyAlignment="1" applyProtection="1">
      <alignment vertical="center"/>
      <protection hidden="1"/>
    </xf>
    <xf numFmtId="0" fontId="2" fillId="3" borderId="82" xfId="18" applyNumberFormat="1" applyFont="1" applyFill="1" applyBorder="1" applyAlignment="1" applyProtection="1">
      <alignment vertical="center"/>
      <protection hidden="1"/>
    </xf>
    <xf numFmtId="0" fontId="1" fillId="3" borderId="83" xfId="18" applyNumberFormat="1" applyFont="1" applyFill="1" applyBorder="1" applyAlignment="1" applyProtection="1">
      <alignment vertical="center"/>
      <protection hidden="1"/>
    </xf>
    <xf numFmtId="2" fontId="17" fillId="3" borderId="0" xfId="0" applyNumberFormat="1" applyFont="1" applyFill="1" applyBorder="1" applyAlignment="1" applyProtection="1">
      <alignment horizontal="center" vertical="center"/>
      <protection hidden="1"/>
    </xf>
    <xf numFmtId="184" fontId="4" fillId="3" borderId="0" xfId="0" applyNumberFormat="1" applyFont="1" applyFill="1" applyAlignment="1" applyProtection="1">
      <alignment/>
      <protection hidden="1" locked="0"/>
    </xf>
    <xf numFmtId="184" fontId="4" fillId="0" borderId="0" xfId="0" applyNumberFormat="1" applyFont="1" applyFill="1" applyAlignment="1" applyProtection="1">
      <alignment/>
      <protection hidden="1"/>
    </xf>
    <xf numFmtId="37" fontId="4" fillId="3" borderId="0" xfId="0" applyNumberFormat="1" applyFont="1" applyFill="1" applyAlignment="1" applyProtection="1">
      <alignment/>
      <protection hidden="1"/>
    </xf>
    <xf numFmtId="37" fontId="4" fillId="0" borderId="84" xfId="0" applyNumberFormat="1" applyFont="1" applyFill="1" applyBorder="1" applyAlignment="1" applyProtection="1">
      <alignment/>
      <protection hidden="1"/>
    </xf>
    <xf numFmtId="37" fontId="7" fillId="0" borderId="0" xfId="0" applyNumberFormat="1" applyFont="1" applyFill="1" applyBorder="1" applyAlignment="1" applyProtection="1">
      <alignment/>
      <protection hidden="1"/>
    </xf>
    <xf numFmtId="37" fontId="0" fillId="0" borderId="0" xfId="0" applyNumberFormat="1" applyFont="1" applyFill="1" applyAlignment="1" applyProtection="1">
      <alignment/>
      <protection hidden="1"/>
    </xf>
    <xf numFmtId="37" fontId="4" fillId="0" borderId="0" xfId="0" applyNumberFormat="1" applyFont="1" applyFill="1" applyAlignment="1" applyProtection="1">
      <alignment/>
      <protection hidden="1"/>
    </xf>
    <xf numFmtId="37" fontId="4" fillId="0" borderId="85" xfId="0" applyNumberFormat="1" applyFont="1" applyFill="1" applyBorder="1" applyAlignment="1" applyProtection="1">
      <alignment/>
      <protection hidden="1"/>
    </xf>
    <xf numFmtId="185" fontId="8" fillId="0" borderId="0" xfId="0" applyNumberFormat="1" applyFont="1" applyFill="1" applyAlignment="1" applyProtection="1">
      <alignment horizontal="center" vertical="center"/>
      <protection hidden="1"/>
    </xf>
    <xf numFmtId="185" fontId="8" fillId="0" borderId="0" xfId="0" applyNumberFormat="1" applyFont="1" applyFill="1" applyAlignment="1" applyProtection="1">
      <alignment horizontal="right" vertical="center"/>
      <protection hidden="1"/>
    </xf>
    <xf numFmtId="37" fontId="9" fillId="0" borderId="0" xfId="0" applyNumberFormat="1" applyFont="1" applyFill="1" applyAlignment="1" applyProtection="1">
      <alignment/>
      <protection hidden="1"/>
    </xf>
    <xf numFmtId="37" fontId="7" fillId="0" borderId="0" xfId="0" applyNumberFormat="1" applyFont="1" applyFill="1" applyAlignment="1" applyProtection="1">
      <alignment/>
      <protection hidden="1"/>
    </xf>
    <xf numFmtId="37" fontId="4" fillId="0" borderId="86" xfId="0" applyNumberFormat="1" applyFont="1" applyFill="1" applyBorder="1" applyAlignment="1" applyProtection="1">
      <alignment/>
      <protection hidden="1"/>
    </xf>
    <xf numFmtId="37" fontId="4" fillId="0" borderId="87" xfId="0" applyNumberFormat="1" applyFont="1" applyFill="1" applyBorder="1" applyAlignment="1" applyProtection="1">
      <alignment/>
      <protection hidden="1"/>
    </xf>
    <xf numFmtId="37" fontId="4" fillId="0" borderId="88" xfId="0" applyNumberFormat="1" applyFont="1" applyFill="1" applyBorder="1" applyAlignment="1" applyProtection="1">
      <alignment/>
      <protection hidden="1"/>
    </xf>
    <xf numFmtId="37" fontId="5" fillId="0" borderId="0" xfId="0" applyNumberFormat="1" applyFont="1" applyFill="1" applyBorder="1" applyAlignment="1" applyProtection="1">
      <alignment/>
      <protection hidden="1"/>
    </xf>
    <xf numFmtId="37" fontId="28" fillId="0" borderId="0" xfId="0" applyNumberFormat="1" applyFont="1" applyFill="1" applyBorder="1" applyAlignment="1" applyProtection="1">
      <alignment/>
      <protection hidden="1"/>
    </xf>
    <xf numFmtId="37" fontId="4" fillId="0" borderId="89" xfId="0" applyNumberFormat="1" applyFont="1" applyFill="1" applyBorder="1" applyAlignment="1" applyProtection="1">
      <alignment/>
      <protection hidden="1"/>
    </xf>
    <xf numFmtId="37" fontId="4" fillId="0" borderId="90" xfId="0" applyNumberFormat="1" applyFont="1" applyFill="1" applyBorder="1" applyAlignment="1" applyProtection="1">
      <alignment/>
      <protection hidden="1"/>
    </xf>
    <xf numFmtId="37" fontId="4" fillId="0" borderId="91" xfId="0" applyNumberFormat="1" applyFont="1" applyFill="1" applyBorder="1" applyAlignment="1" applyProtection="1">
      <alignment/>
      <protection hidden="1"/>
    </xf>
    <xf numFmtId="37" fontId="4" fillId="0" borderId="92" xfId="0" applyNumberFormat="1" applyFont="1" applyFill="1" applyBorder="1" applyAlignment="1" applyProtection="1">
      <alignment/>
      <protection hidden="1"/>
    </xf>
    <xf numFmtId="37" fontId="4" fillId="0" borderId="0" xfId="0" applyNumberFormat="1" applyFont="1" applyFill="1" applyBorder="1" applyAlignment="1" applyProtection="1">
      <alignment/>
      <protection hidden="1"/>
    </xf>
    <xf numFmtId="37" fontId="4" fillId="0" borderId="93" xfId="0" applyNumberFormat="1" applyFont="1" applyFill="1" applyBorder="1" applyAlignment="1" applyProtection="1">
      <alignment/>
      <protection hidden="1"/>
    </xf>
    <xf numFmtId="37" fontId="38" fillId="0" borderId="92" xfId="0" applyNumberFormat="1" applyFont="1" applyFill="1" applyBorder="1" applyAlignment="1" applyProtection="1">
      <alignment horizontal="centerContinuous"/>
      <protection hidden="1"/>
    </xf>
    <xf numFmtId="37" fontId="4" fillId="0" borderId="0" xfId="0" applyNumberFormat="1" applyFont="1" applyFill="1" applyBorder="1" applyAlignment="1" applyProtection="1">
      <alignment horizontal="centerContinuous"/>
      <protection hidden="1"/>
    </xf>
    <xf numFmtId="37" fontId="4" fillId="0" borderId="0" xfId="0" applyNumberFormat="1" applyFont="1" applyFill="1" applyAlignment="1" applyProtection="1">
      <alignment horizontal="centerContinuous"/>
      <protection hidden="1"/>
    </xf>
    <xf numFmtId="37" fontId="38" fillId="0" borderId="0" xfId="0" applyNumberFormat="1" applyFont="1" applyFill="1" applyAlignment="1" applyProtection="1">
      <alignment horizontal="centerContinuous"/>
      <protection hidden="1"/>
    </xf>
    <xf numFmtId="37" fontId="4" fillId="0" borderId="93" xfId="0" applyNumberFormat="1" applyFont="1" applyFill="1" applyBorder="1" applyAlignment="1" applyProtection="1">
      <alignment horizontal="centerContinuous"/>
      <protection hidden="1"/>
    </xf>
    <xf numFmtId="37" fontId="54" fillId="0" borderId="92" xfId="0" applyNumberFormat="1" applyFont="1" applyFill="1" applyBorder="1" applyAlignment="1" applyProtection="1">
      <alignment horizontal="centerContinuous"/>
      <protection hidden="1"/>
    </xf>
    <xf numFmtId="37" fontId="52" fillId="0" borderId="0" xfId="0" applyNumberFormat="1" applyFont="1" applyFill="1" applyAlignment="1" applyProtection="1">
      <alignment horizontal="centerContinuous"/>
      <protection hidden="1"/>
    </xf>
    <xf numFmtId="37" fontId="53" fillId="0" borderId="0" xfId="0" applyNumberFormat="1" applyFont="1" applyFill="1" applyAlignment="1" applyProtection="1">
      <alignment horizontal="centerContinuous"/>
      <protection hidden="1"/>
    </xf>
    <xf numFmtId="37" fontId="52" fillId="0" borderId="93" xfId="0" applyNumberFormat="1" applyFont="1" applyFill="1" applyBorder="1" applyAlignment="1" applyProtection="1">
      <alignment horizontal="centerContinuous"/>
      <protection hidden="1"/>
    </xf>
    <xf numFmtId="37" fontId="42" fillId="0" borderId="0" xfId="0" applyNumberFormat="1" applyFont="1" applyFill="1" applyBorder="1" applyAlignment="1" applyProtection="1">
      <alignment horizontal="center"/>
      <protection hidden="1"/>
    </xf>
    <xf numFmtId="37" fontId="27" fillId="0" borderId="92" xfId="0" applyNumberFormat="1" applyFont="1" applyFill="1" applyBorder="1" applyAlignment="1" applyProtection="1">
      <alignment horizontal="centerContinuous"/>
      <protection hidden="1"/>
    </xf>
    <xf numFmtId="37" fontId="27" fillId="0" borderId="0" xfId="0" applyNumberFormat="1" applyFont="1" applyFill="1" applyBorder="1" applyAlignment="1" applyProtection="1">
      <alignment horizontal="centerContinuous"/>
      <protection hidden="1"/>
    </xf>
    <xf numFmtId="37" fontId="4" fillId="0" borderId="94" xfId="0" applyNumberFormat="1" applyFont="1" applyFill="1" applyBorder="1" applyAlignment="1" applyProtection="1">
      <alignment/>
      <protection hidden="1"/>
    </xf>
    <xf numFmtId="37" fontId="4" fillId="0" borderId="95" xfId="0" applyNumberFormat="1" applyFont="1" applyFill="1" applyBorder="1" applyAlignment="1" applyProtection="1">
      <alignment/>
      <protection hidden="1"/>
    </xf>
    <xf numFmtId="37" fontId="4" fillId="0" borderId="96" xfId="0" applyNumberFormat="1" applyFont="1" applyFill="1" applyBorder="1" applyAlignment="1" applyProtection="1">
      <alignment/>
      <protection hidden="1"/>
    </xf>
    <xf numFmtId="37" fontId="25" fillId="0" borderId="0" xfId="0" applyNumberFormat="1" applyFont="1" applyFill="1" applyBorder="1" applyAlignment="1" applyProtection="1">
      <alignment/>
      <protection hidden="1"/>
    </xf>
    <xf numFmtId="37" fontId="39" fillId="0" borderId="0" xfId="0" applyNumberFormat="1" applyFont="1" applyFill="1" applyBorder="1" applyAlignment="1" applyProtection="1">
      <alignment/>
      <protection hidden="1"/>
    </xf>
    <xf numFmtId="37" fontId="14" fillId="3" borderId="0" xfId="0" applyNumberFormat="1" applyFont="1" applyFill="1" applyBorder="1" applyAlignment="1" applyProtection="1">
      <alignment vertical="center"/>
      <protection hidden="1"/>
    </xf>
    <xf numFmtId="37" fontId="1" fillId="3" borderId="40" xfId="0" applyNumberFormat="1" applyFont="1" applyFill="1" applyBorder="1" applyAlignment="1" applyProtection="1">
      <alignment vertical="center"/>
      <protection hidden="1"/>
    </xf>
    <xf numFmtId="37" fontId="1" fillId="3" borderId="35" xfId="0" applyNumberFormat="1" applyFont="1" applyFill="1" applyBorder="1" applyAlignment="1" applyProtection="1">
      <alignment vertical="center"/>
      <protection hidden="1"/>
    </xf>
    <xf numFmtId="37" fontId="1" fillId="3" borderId="97" xfId="0" applyNumberFormat="1" applyFont="1" applyFill="1" applyBorder="1" applyAlignment="1" applyProtection="1">
      <alignment horizontal="center" vertical="center"/>
      <protection hidden="1"/>
    </xf>
    <xf numFmtId="0" fontId="18" fillId="3" borderId="0" xfId="0" applyNumberFormat="1" applyFont="1" applyFill="1" applyBorder="1" applyAlignment="1" applyProtection="1">
      <alignment horizontal="center" vertical="center"/>
      <protection locked="0"/>
    </xf>
    <xf numFmtId="37" fontId="4" fillId="3" borderId="34" xfId="0" applyNumberFormat="1" applyFont="1" applyFill="1" applyBorder="1" applyAlignment="1" applyProtection="1">
      <alignment horizontal="left" vertical="center"/>
      <protection hidden="1"/>
    </xf>
    <xf numFmtId="37" fontId="47" fillId="3" borderId="36" xfId="0" applyNumberFormat="1" applyFont="1" applyFill="1" applyBorder="1" applyAlignment="1" applyProtection="1">
      <alignment horizontal="center" vertical="center"/>
      <protection hidden="1"/>
    </xf>
    <xf numFmtId="4" fontId="55" fillId="3" borderId="36" xfId="0" applyNumberFormat="1" applyFont="1" applyFill="1" applyBorder="1" applyAlignment="1" applyProtection="1">
      <alignment vertical="center"/>
      <protection hidden="1"/>
    </xf>
    <xf numFmtId="4" fontId="47" fillId="3" borderId="36" xfId="0" applyNumberFormat="1" applyFont="1" applyFill="1" applyBorder="1" applyAlignment="1" applyProtection="1">
      <alignment vertical="center"/>
      <protection hidden="1"/>
    </xf>
    <xf numFmtId="37" fontId="33" fillId="3" borderId="13" xfId="0" applyNumberFormat="1" applyFont="1" applyFill="1" applyBorder="1" applyAlignment="1" applyProtection="1">
      <alignment horizontal="center" vertical="center"/>
      <protection hidden="1"/>
    </xf>
    <xf numFmtId="37" fontId="0" fillId="3" borderId="33" xfId="0" applyNumberFormat="1" applyFont="1" applyFill="1" applyBorder="1" applyAlignment="1" applyProtection="1">
      <alignment horizontal="center" vertical="center"/>
      <protection hidden="1"/>
    </xf>
    <xf numFmtId="37" fontId="33" fillId="3" borderId="98" xfId="0" applyNumberFormat="1" applyFont="1" applyFill="1" applyBorder="1" applyAlignment="1" applyProtection="1">
      <alignment horizontal="center" vertical="center"/>
      <protection hidden="1"/>
    </xf>
    <xf numFmtId="37" fontId="33" fillId="3" borderId="99" xfId="0" applyNumberFormat="1" applyFont="1" applyFill="1" applyBorder="1" applyAlignment="1" applyProtection="1">
      <alignment horizontal="center" vertical="center"/>
      <protection hidden="1"/>
    </xf>
    <xf numFmtId="37" fontId="33" fillId="3" borderId="100" xfId="0" applyNumberFormat="1" applyFont="1" applyFill="1" applyBorder="1" applyAlignment="1" applyProtection="1">
      <alignment horizontal="center" vertical="center"/>
      <protection hidden="1"/>
    </xf>
    <xf numFmtId="37" fontId="13" fillId="3" borderId="101" xfId="0" applyNumberFormat="1" applyFont="1" applyFill="1" applyBorder="1" applyAlignment="1" applyProtection="1">
      <alignment horizontal="center" vertical="center"/>
      <protection hidden="1"/>
    </xf>
    <xf numFmtId="37" fontId="3" fillId="3" borderId="0" xfId="0" applyNumberFormat="1" applyFont="1" applyFill="1" applyBorder="1" applyAlignment="1" applyProtection="1">
      <alignment vertical="center"/>
      <protection hidden="1"/>
    </xf>
    <xf numFmtId="0" fontId="2" fillId="3" borderId="0" xfId="18" applyNumberFormat="1" applyFont="1" applyFill="1" applyBorder="1" applyAlignment="1" applyProtection="1">
      <alignment vertical="center"/>
      <protection hidden="1"/>
    </xf>
    <xf numFmtId="37" fontId="33" fillId="3" borderId="42" xfId="0" applyNumberFormat="1" applyFont="1" applyFill="1" applyBorder="1" applyAlignment="1" applyProtection="1">
      <alignment horizontal="center" vertical="center"/>
      <protection hidden="1"/>
    </xf>
    <xf numFmtId="37" fontId="33" fillId="3" borderId="58" xfId="0" applyNumberFormat="1" applyFont="1" applyFill="1" applyBorder="1" applyAlignment="1" applyProtection="1">
      <alignment horizontal="center" vertical="center"/>
      <protection hidden="1"/>
    </xf>
    <xf numFmtId="0" fontId="2" fillId="3" borderId="58" xfId="18" applyNumberFormat="1" applyFont="1" applyFill="1" applyBorder="1" applyAlignment="1" applyProtection="1">
      <alignment vertical="center"/>
      <protection hidden="1"/>
    </xf>
    <xf numFmtId="37" fontId="33" fillId="3" borderId="102" xfId="0" applyNumberFormat="1" applyFont="1" applyFill="1" applyBorder="1" applyAlignment="1" applyProtection="1">
      <alignment horizontal="center" vertical="center"/>
      <protection hidden="1"/>
    </xf>
    <xf numFmtId="37" fontId="33" fillId="3" borderId="103" xfId="0" applyNumberFormat="1" applyFont="1" applyFill="1" applyBorder="1" applyAlignment="1" applyProtection="1">
      <alignment horizontal="center" vertical="center"/>
      <protection hidden="1"/>
    </xf>
    <xf numFmtId="37" fontId="1" fillId="6" borderId="13" xfId="0" applyNumberFormat="1" applyFont="1" applyFill="1" applyBorder="1" applyAlignment="1" applyProtection="1">
      <alignment vertical="center"/>
      <protection hidden="1"/>
    </xf>
    <xf numFmtId="37" fontId="14" fillId="6" borderId="99" xfId="0" applyNumberFormat="1" applyFont="1" applyFill="1" applyBorder="1" applyAlignment="1" applyProtection="1">
      <alignment horizontal="center" vertical="center"/>
      <protection hidden="1"/>
    </xf>
    <xf numFmtId="172" fontId="17" fillId="6" borderId="99" xfId="0" applyNumberFormat="1" applyFont="1" applyFill="1" applyBorder="1" applyAlignment="1" applyProtection="1">
      <alignment horizontal="center" vertical="center"/>
      <protection hidden="1"/>
    </xf>
    <xf numFmtId="180" fontId="57" fillId="6" borderId="13" xfId="18" applyNumberFormat="1" applyFont="1" applyFill="1" applyBorder="1" applyAlignment="1" applyProtection="1">
      <alignment horizontal="center" vertical="center"/>
      <protection hidden="1"/>
    </xf>
    <xf numFmtId="180" fontId="57" fillId="6" borderId="99" xfId="18" applyNumberFormat="1" applyFont="1" applyFill="1" applyBorder="1" applyAlignment="1" applyProtection="1">
      <alignment horizontal="center" vertical="center"/>
      <protection hidden="1"/>
    </xf>
    <xf numFmtId="37" fontId="1" fillId="3" borderId="104" xfId="0" applyNumberFormat="1" applyFont="1" applyFill="1" applyBorder="1" applyAlignment="1" applyProtection="1">
      <alignment horizontal="center" vertical="center"/>
      <protection hidden="1"/>
    </xf>
    <xf numFmtId="37" fontId="56" fillId="3" borderId="105" xfId="0" applyNumberFormat="1" applyFont="1" applyFill="1" applyBorder="1" applyAlignment="1" applyProtection="1">
      <alignment horizontal="center" vertical="center"/>
      <protection hidden="1"/>
    </xf>
    <xf numFmtId="0" fontId="18" fillId="3" borderId="106" xfId="18" applyNumberFormat="1" applyFont="1" applyFill="1" applyBorder="1" applyAlignment="1" applyProtection="1">
      <alignment horizontal="center" vertical="center"/>
      <protection hidden="1"/>
    </xf>
    <xf numFmtId="0" fontId="18" fillId="3" borderId="58" xfId="18" applyNumberFormat="1" applyFont="1" applyFill="1" applyBorder="1" applyAlignment="1" applyProtection="1">
      <alignment horizontal="center" vertical="center"/>
      <protection hidden="1"/>
    </xf>
    <xf numFmtId="180" fontId="23" fillId="3" borderId="13" xfId="18" applyNumberFormat="1" applyFont="1" applyFill="1" applyBorder="1" applyAlignment="1" applyProtection="1">
      <alignment horizontal="center" vertical="center"/>
      <protection hidden="1"/>
    </xf>
    <xf numFmtId="180" fontId="23" fillId="3" borderId="99" xfId="18" applyNumberFormat="1" applyFont="1" applyFill="1" applyBorder="1" applyAlignment="1" applyProtection="1">
      <alignment horizontal="center" vertical="center"/>
      <protection hidden="1"/>
    </xf>
    <xf numFmtId="37" fontId="0" fillId="3" borderId="65" xfId="0" applyNumberFormat="1" applyFont="1" applyFill="1" applyBorder="1" applyAlignment="1" applyProtection="1">
      <alignment vertical="center"/>
      <protection hidden="1"/>
    </xf>
    <xf numFmtId="37" fontId="0" fillId="3" borderId="107" xfId="0" applyNumberFormat="1" applyFont="1" applyFill="1" applyBorder="1" applyAlignment="1" applyProtection="1">
      <alignment vertical="center"/>
      <protection hidden="1"/>
    </xf>
    <xf numFmtId="37" fontId="0" fillId="3" borderId="108" xfId="0" applyNumberFormat="1" applyFont="1" applyFill="1" applyBorder="1" applyAlignment="1" applyProtection="1">
      <alignment vertical="center"/>
      <protection hidden="1"/>
    </xf>
    <xf numFmtId="37" fontId="33" fillId="3" borderId="109" xfId="0" applyNumberFormat="1" applyFont="1" applyFill="1" applyBorder="1" applyAlignment="1" applyProtection="1">
      <alignment horizontal="center" vertical="center"/>
      <protection hidden="1"/>
    </xf>
    <xf numFmtId="37" fontId="33" fillId="3" borderId="110" xfId="0" applyNumberFormat="1" applyFont="1" applyFill="1" applyBorder="1" applyAlignment="1" applyProtection="1">
      <alignment horizontal="center" vertical="center"/>
      <protection hidden="1"/>
    </xf>
    <xf numFmtId="37" fontId="33" fillId="3" borderId="111" xfId="0" applyNumberFormat="1" applyFont="1" applyFill="1" applyBorder="1" applyAlignment="1" applyProtection="1">
      <alignment horizontal="center" vertical="center"/>
      <protection hidden="1"/>
    </xf>
    <xf numFmtId="4" fontId="55" fillId="3" borderId="79" xfId="0" applyNumberFormat="1" applyFont="1" applyFill="1" applyBorder="1" applyAlignment="1" applyProtection="1">
      <alignment vertical="center"/>
      <protection hidden="1"/>
    </xf>
    <xf numFmtId="0" fontId="18" fillId="3" borderId="42" xfId="18" applyNumberFormat="1" applyFont="1" applyFill="1" applyBorder="1" applyAlignment="1" applyProtection="1">
      <alignment horizontal="center" vertical="center"/>
      <protection hidden="1"/>
    </xf>
    <xf numFmtId="37" fontId="13" fillId="3" borderId="112" xfId="0" applyNumberFormat="1" applyFont="1" applyFill="1" applyBorder="1" applyAlignment="1" applyProtection="1">
      <alignment vertical="center"/>
      <protection hidden="1"/>
    </xf>
    <xf numFmtId="0" fontId="23" fillId="3" borderId="58" xfId="18" applyNumberFormat="1" applyFont="1" applyFill="1" applyBorder="1" applyAlignment="1" applyProtection="1">
      <alignment horizontal="center" vertical="center"/>
      <protection hidden="1"/>
    </xf>
    <xf numFmtId="37" fontId="13" fillId="3" borderId="113" xfId="0" applyNumberFormat="1" applyFont="1" applyFill="1" applyBorder="1" applyAlignment="1" applyProtection="1">
      <alignment horizontal="center" vertical="center"/>
      <protection hidden="1"/>
    </xf>
    <xf numFmtId="37" fontId="13" fillId="3" borderId="114" xfId="0" applyNumberFormat="1" applyFont="1" applyFill="1" applyBorder="1" applyAlignment="1">
      <alignment horizontal="center" vertical="center"/>
    </xf>
    <xf numFmtId="180" fontId="23" fillId="3" borderId="110" xfId="18" applyNumberFormat="1" applyFont="1" applyFill="1" applyBorder="1" applyAlignment="1" applyProtection="1">
      <alignment horizontal="center" vertical="center"/>
      <protection hidden="1"/>
    </xf>
    <xf numFmtId="37" fontId="0" fillId="3" borderId="115" xfId="0" applyNumberFormat="1" applyFont="1" applyFill="1" applyBorder="1" applyAlignment="1" applyProtection="1">
      <alignment vertical="center"/>
      <protection hidden="1"/>
    </xf>
    <xf numFmtId="37" fontId="33" fillId="3" borderId="116" xfId="0" applyNumberFormat="1" applyFont="1" applyFill="1" applyBorder="1" applyAlignment="1" applyProtection="1">
      <alignment horizontal="center" vertical="center"/>
      <protection hidden="1"/>
    </xf>
    <xf numFmtId="37" fontId="13" fillId="3" borderId="13" xfId="0" applyNumberFormat="1" applyFont="1" applyFill="1" applyBorder="1" applyAlignment="1" applyProtection="1">
      <alignment vertical="center"/>
      <protection hidden="1"/>
    </xf>
    <xf numFmtId="39" fontId="0" fillId="3" borderId="107" xfId="0" applyNumberFormat="1" applyFont="1" applyFill="1" applyBorder="1" applyAlignment="1" applyProtection="1">
      <alignment vertical="center"/>
      <protection hidden="1"/>
    </xf>
    <xf numFmtId="180" fontId="23" fillId="3" borderId="113" xfId="18" applyNumberFormat="1" applyFont="1" applyFill="1" applyBorder="1" applyAlignment="1" applyProtection="1">
      <alignment horizontal="center" vertical="center"/>
      <protection hidden="1"/>
    </xf>
    <xf numFmtId="0" fontId="18" fillId="3" borderId="117" xfId="18" applyNumberFormat="1" applyFont="1" applyFill="1" applyBorder="1" applyAlignment="1" applyProtection="1">
      <alignment horizontal="center" vertical="center"/>
      <protection hidden="1"/>
    </xf>
    <xf numFmtId="0" fontId="18" fillId="3" borderId="65" xfId="18" applyNumberFormat="1" applyFont="1" applyFill="1" applyBorder="1" applyAlignment="1" applyProtection="1">
      <alignment horizontal="center" vertical="center"/>
      <protection hidden="1"/>
    </xf>
    <xf numFmtId="180" fontId="23" fillId="6" borderId="107" xfId="18" applyNumberFormat="1" applyFont="1" applyFill="1" applyBorder="1" applyAlignment="1" applyProtection="1">
      <alignment horizontal="center" vertical="center"/>
      <protection hidden="1"/>
    </xf>
    <xf numFmtId="180" fontId="23" fillId="6" borderId="108" xfId="18" applyNumberFormat="1" applyFont="1" applyFill="1" applyBorder="1" applyAlignment="1" applyProtection="1">
      <alignment horizontal="center" vertical="center"/>
      <protection hidden="1"/>
    </xf>
    <xf numFmtId="4" fontId="47" fillId="3" borderId="80" xfId="0" applyNumberFormat="1" applyFont="1" applyFill="1" applyBorder="1" applyAlignment="1" applyProtection="1">
      <alignment vertical="center"/>
      <protection hidden="1"/>
    </xf>
    <xf numFmtId="37" fontId="14" fillId="3" borderId="35" xfId="0" applyNumberFormat="1" applyFont="1" applyFill="1" applyBorder="1" applyAlignment="1" applyProtection="1">
      <alignment horizontal="right" vertical="center"/>
      <protection hidden="1"/>
    </xf>
    <xf numFmtId="0" fontId="23" fillId="3" borderId="16" xfId="18" applyNumberFormat="1" applyFont="1" applyFill="1" applyBorder="1" applyAlignment="1" applyProtection="1">
      <alignment horizontal="center" vertical="center"/>
      <protection hidden="1"/>
    </xf>
    <xf numFmtId="0" fontId="23" fillId="3" borderId="106" xfId="18" applyNumberFormat="1" applyFont="1" applyFill="1" applyBorder="1" applyAlignment="1" applyProtection="1">
      <alignment horizontal="center" vertical="center"/>
      <protection hidden="1"/>
    </xf>
    <xf numFmtId="185" fontId="37" fillId="3" borderId="0" xfId="0" applyNumberFormat="1" applyFont="1" applyFill="1" applyAlignment="1" applyProtection="1">
      <alignment horizontal="right" vertical="center"/>
      <protection hidden="1"/>
    </xf>
    <xf numFmtId="185" fontId="37" fillId="3" borderId="0" xfId="0" applyNumberFormat="1" applyFont="1" applyFill="1" applyAlignment="1" applyProtection="1">
      <alignment horizontal="center" vertical="center"/>
      <protection hidden="1"/>
    </xf>
    <xf numFmtId="185" fontId="37" fillId="3" borderId="36" xfId="0" applyNumberFormat="1" applyFont="1" applyFill="1" applyBorder="1" applyAlignment="1" applyProtection="1">
      <alignment horizontal="right" vertical="center"/>
      <protection hidden="1"/>
    </xf>
    <xf numFmtId="185" fontId="37" fillId="0" borderId="39" xfId="0" applyNumberFormat="1" applyFont="1" applyFill="1" applyBorder="1" applyAlignment="1" applyProtection="1">
      <alignment horizontal="right" vertical="center"/>
      <protection hidden="1"/>
    </xf>
    <xf numFmtId="37" fontId="1" fillId="2" borderId="10" xfId="19" applyNumberFormat="1" applyFont="1" applyFill="1" applyBorder="1" applyProtection="1">
      <alignment/>
      <protection hidden="1"/>
    </xf>
    <xf numFmtId="37" fontId="0" fillId="2" borderId="10" xfId="19" applyNumberFormat="1" applyFont="1" applyFill="1" applyBorder="1" applyProtection="1">
      <alignment/>
      <protection hidden="1"/>
    </xf>
    <xf numFmtId="37" fontId="1" fillId="2" borderId="26" xfId="19" applyNumberFormat="1" applyFont="1" applyFill="1" applyBorder="1" applyProtection="1">
      <alignment/>
      <protection hidden="1"/>
    </xf>
    <xf numFmtId="3" fontId="0" fillId="2" borderId="58" xfId="19" applyNumberFormat="1" applyFont="1" applyFill="1" applyBorder="1" applyProtection="1">
      <alignment/>
      <protection hidden="1"/>
    </xf>
    <xf numFmtId="3" fontId="0" fillId="2" borderId="103" xfId="19" applyNumberFormat="1" applyFont="1" applyFill="1" applyBorder="1" applyProtection="1">
      <alignment/>
      <protection hidden="1"/>
    </xf>
    <xf numFmtId="37" fontId="1" fillId="2" borderId="118" xfId="19" applyNumberFormat="1" applyFont="1" applyFill="1" applyBorder="1" applyProtection="1">
      <alignment/>
      <protection hidden="1"/>
    </xf>
    <xf numFmtId="2" fontId="1" fillId="2" borderId="57" xfId="19" applyNumberFormat="1" applyFont="1" applyFill="1" applyBorder="1" applyProtection="1">
      <alignment/>
      <protection hidden="1"/>
    </xf>
    <xf numFmtId="15" fontId="1" fillId="2" borderId="119" xfId="19" applyNumberFormat="1" applyFont="1" applyFill="1" applyBorder="1" applyProtection="1">
      <alignment/>
      <protection hidden="1"/>
    </xf>
    <xf numFmtId="15" fontId="1" fillId="2" borderId="57" xfId="19" applyNumberFormat="1" applyFont="1" applyFill="1" applyBorder="1" applyAlignment="1" applyProtection="1">
      <alignment horizontal="left"/>
      <protection hidden="1"/>
    </xf>
    <xf numFmtId="2" fontId="1" fillId="7" borderId="10" xfId="19" applyNumberFormat="1" applyFont="1" applyFill="1" applyBorder="1" applyProtection="1">
      <alignment/>
      <protection hidden="1"/>
    </xf>
    <xf numFmtId="2" fontId="1" fillId="7" borderId="118" xfId="19" applyNumberFormat="1" applyFont="1" applyFill="1" applyBorder="1" applyProtection="1">
      <alignment/>
      <protection hidden="1"/>
    </xf>
    <xf numFmtId="15" fontId="1" fillId="2" borderId="26" xfId="19" applyNumberFormat="1" applyFont="1" applyFill="1" applyBorder="1" applyAlignment="1" applyProtection="1">
      <alignment horizontal="left"/>
      <protection hidden="1"/>
    </xf>
    <xf numFmtId="15" fontId="1" fillId="2" borderId="120" xfId="19" applyNumberFormat="1" applyFont="1" applyFill="1" applyBorder="1" applyProtection="1">
      <alignment/>
      <protection hidden="1"/>
    </xf>
    <xf numFmtId="15" fontId="1" fillId="7" borderId="121" xfId="19" applyNumberFormat="1" applyFont="1" applyFill="1" applyBorder="1" applyProtection="1">
      <alignment/>
      <protection hidden="1"/>
    </xf>
    <xf numFmtId="15" fontId="1" fillId="7" borderId="120" xfId="19" applyNumberFormat="1" applyFont="1" applyFill="1" applyBorder="1" applyProtection="1">
      <alignment/>
      <protection hidden="1"/>
    </xf>
    <xf numFmtId="15" fontId="1" fillId="7" borderId="26" xfId="19" applyNumberFormat="1" applyFont="1" applyFill="1" applyBorder="1" applyProtection="1">
      <alignment/>
      <protection hidden="1"/>
    </xf>
    <xf numFmtId="37" fontId="33" fillId="3" borderId="122" xfId="0" applyNumberFormat="1" applyFont="1" applyFill="1" applyBorder="1" applyAlignment="1" applyProtection="1">
      <alignment horizontal="center" vertical="center"/>
      <protection hidden="1"/>
    </xf>
    <xf numFmtId="37" fontId="33" fillId="3" borderId="123" xfId="0" applyNumberFormat="1" applyFont="1" applyFill="1" applyBorder="1" applyAlignment="1" applyProtection="1">
      <alignment horizontal="center" vertical="center"/>
      <protection hidden="1"/>
    </xf>
    <xf numFmtId="37" fontId="33" fillId="3" borderId="112" xfId="0" applyNumberFormat="1" applyFont="1" applyFill="1" applyBorder="1" applyAlignment="1" applyProtection="1">
      <alignment horizontal="center" vertical="center"/>
      <protection hidden="1"/>
    </xf>
    <xf numFmtId="37" fontId="1" fillId="3" borderId="123" xfId="0" applyNumberFormat="1" applyFont="1" applyFill="1" applyBorder="1" applyAlignment="1" applyProtection="1">
      <alignment vertical="center"/>
      <protection hidden="1"/>
    </xf>
    <xf numFmtId="4" fontId="47" fillId="3" borderId="123" xfId="0" applyNumberFormat="1" applyFont="1" applyFill="1" applyBorder="1" applyAlignment="1" applyProtection="1">
      <alignment vertical="center"/>
      <protection locked="0"/>
    </xf>
    <xf numFmtId="37" fontId="13" fillId="3" borderId="124" xfId="0" applyNumberFormat="1" applyFont="1" applyFill="1" applyBorder="1" applyAlignment="1" applyProtection="1">
      <alignment vertical="center"/>
      <protection hidden="1"/>
    </xf>
    <xf numFmtId="37" fontId="1" fillId="6" borderId="110" xfId="0" applyNumberFormat="1" applyFont="1" applyFill="1" applyBorder="1" applyAlignment="1" applyProtection="1">
      <alignment horizontal="center" vertical="center"/>
      <protection hidden="1"/>
    </xf>
    <xf numFmtId="180" fontId="57" fillId="6" borderId="110" xfId="18" applyNumberFormat="1" applyFont="1" applyFill="1" applyBorder="1" applyAlignment="1" applyProtection="1">
      <alignment horizontal="center" vertical="center"/>
      <protection hidden="1"/>
    </xf>
    <xf numFmtId="180" fontId="23" fillId="6" borderId="115" xfId="18" applyNumberFormat="1" applyFont="1" applyFill="1" applyBorder="1" applyAlignment="1" applyProtection="1">
      <alignment horizontal="center" vertical="center"/>
      <protection hidden="1"/>
    </xf>
    <xf numFmtId="180" fontId="47" fillId="6" borderId="125" xfId="17" applyNumberFormat="1" applyFont="1" applyFill="1" applyBorder="1" applyAlignment="1" applyProtection="1">
      <alignment vertical="center"/>
      <protection hidden="1"/>
    </xf>
    <xf numFmtId="180" fontId="47" fillId="6" borderId="79" xfId="17" applyNumberFormat="1" applyFont="1" applyFill="1" applyBorder="1" applyAlignment="1" applyProtection="1">
      <alignment vertical="center"/>
      <protection hidden="1"/>
    </xf>
    <xf numFmtId="37" fontId="16" fillId="3" borderId="126" xfId="0" applyNumberFormat="1" applyFont="1" applyFill="1" applyBorder="1" applyAlignment="1" applyProtection="1">
      <alignment horizontal="center" vertical="center"/>
      <protection hidden="1"/>
    </xf>
    <xf numFmtId="37" fontId="1" fillId="3" borderId="126" xfId="0" applyNumberFormat="1" applyFont="1" applyFill="1" applyBorder="1" applyAlignment="1" applyProtection="1">
      <alignment vertical="center"/>
      <protection hidden="1"/>
    </xf>
    <xf numFmtId="0" fontId="1" fillId="3" borderId="127" xfId="18" applyNumberFormat="1" applyFont="1" applyFill="1" applyBorder="1" applyAlignment="1" applyProtection="1">
      <alignment vertical="center"/>
      <protection hidden="1"/>
    </xf>
    <xf numFmtId="37" fontId="6" fillId="0" borderId="0" xfId="0" applyNumberFormat="1" applyFont="1" applyFill="1" applyAlignment="1" applyProtection="1">
      <alignment horizontal="center"/>
      <protection hidden="1"/>
    </xf>
    <xf numFmtId="37" fontId="61" fillId="3" borderId="128" xfId="0" applyNumberFormat="1" applyFont="1" applyFill="1" applyBorder="1" applyAlignment="1" applyProtection="1">
      <alignment vertical="center"/>
      <protection hidden="1"/>
    </xf>
    <xf numFmtId="189" fontId="0" fillId="2" borderId="122" xfId="19" applyNumberFormat="1" applyFont="1" applyFill="1" applyBorder="1" applyProtection="1">
      <alignment/>
      <protection hidden="1"/>
    </xf>
    <xf numFmtId="189" fontId="0" fillId="2" borderId="123" xfId="19" applyNumberFormat="1" applyFont="1" applyFill="1" applyBorder="1" applyProtection="1">
      <alignment/>
      <protection hidden="1"/>
    </xf>
    <xf numFmtId="3" fontId="0" fillId="7" borderId="116" xfId="19" applyNumberFormat="1" applyFont="1" applyFill="1" applyBorder="1" applyProtection="1">
      <alignment/>
      <protection hidden="1"/>
    </xf>
    <xf numFmtId="3" fontId="0" fillId="7" borderId="122" xfId="19" applyNumberFormat="1" applyFont="1" applyFill="1" applyBorder="1" applyProtection="1">
      <alignment/>
      <protection hidden="1"/>
    </xf>
    <xf numFmtId="3" fontId="0" fillId="7" borderId="42" xfId="19" applyNumberFormat="1" applyFont="1" applyFill="1" applyBorder="1" applyProtection="1">
      <alignment/>
      <protection hidden="1"/>
    </xf>
    <xf numFmtId="3" fontId="0" fillId="7" borderId="112" xfId="19" applyNumberFormat="1" applyFont="1" applyFill="1" applyBorder="1" applyProtection="1">
      <alignment/>
      <protection hidden="1"/>
    </xf>
    <xf numFmtId="3" fontId="0" fillId="8" borderId="112" xfId="19" applyNumberFormat="1" applyFont="1" applyFill="1" applyBorder="1" applyAlignment="1" applyProtection="1">
      <alignment horizontal="right"/>
      <protection hidden="1"/>
    </xf>
    <xf numFmtId="0" fontId="1" fillId="7" borderId="129" xfId="19" applyNumberFormat="1" applyFont="1" applyFill="1" applyBorder="1" applyProtection="1">
      <alignment/>
      <protection hidden="1"/>
    </xf>
    <xf numFmtId="15" fontId="1" fillId="7" borderId="1" xfId="19" applyNumberFormat="1" applyFont="1" applyFill="1" applyBorder="1" applyProtection="1">
      <alignment/>
      <protection hidden="1"/>
    </xf>
    <xf numFmtId="15" fontId="1" fillId="2" borderId="0" xfId="19" applyNumberFormat="1" applyFont="1" applyFill="1" applyBorder="1" applyProtection="1">
      <alignment/>
      <protection hidden="1"/>
    </xf>
    <xf numFmtId="3" fontId="0" fillId="2" borderId="0" xfId="19" applyNumberFormat="1" applyFont="1" applyFill="1" applyBorder="1" applyProtection="1">
      <alignment/>
      <protection hidden="1"/>
    </xf>
    <xf numFmtId="15" fontId="1" fillId="2" borderId="0" xfId="19" applyNumberFormat="1" applyFont="1" applyFill="1" applyBorder="1" applyAlignment="1" applyProtection="1">
      <alignment horizontal="left"/>
      <protection hidden="1"/>
    </xf>
    <xf numFmtId="37" fontId="1" fillId="2" borderId="0" xfId="19" applyNumberFormat="1" applyFont="1" applyFill="1" applyBorder="1" applyProtection="1">
      <alignment/>
      <protection hidden="1"/>
    </xf>
    <xf numFmtId="15" fontId="1" fillId="0" borderId="121" xfId="19" applyNumberFormat="1" applyFont="1" applyFill="1" applyBorder="1" applyProtection="1">
      <alignment/>
      <protection hidden="1"/>
    </xf>
    <xf numFmtId="180" fontId="47" fillId="6" borderId="36" xfId="0" applyNumberFormat="1" applyFont="1" applyFill="1" applyBorder="1" applyAlignment="1" applyProtection="1">
      <alignment vertical="center"/>
      <protection hidden="1"/>
    </xf>
    <xf numFmtId="37" fontId="66" fillId="6" borderId="40" xfId="0" applyNumberFormat="1" applyFont="1" applyFill="1" applyBorder="1" applyAlignment="1" applyProtection="1">
      <alignment vertical="center"/>
      <protection hidden="1"/>
    </xf>
    <xf numFmtId="180" fontId="47" fillId="6" borderId="13" xfId="0" applyNumberFormat="1" applyFont="1" applyFill="1" applyBorder="1" applyAlignment="1" applyProtection="1">
      <alignment vertical="center"/>
      <protection hidden="1"/>
    </xf>
    <xf numFmtId="37" fontId="66" fillId="6" borderId="107" xfId="0" applyNumberFormat="1" applyFont="1" applyFill="1" applyBorder="1" applyAlignment="1" applyProtection="1">
      <alignment vertical="center"/>
      <protection hidden="1"/>
    </xf>
    <xf numFmtId="37" fontId="66" fillId="6" borderId="39" xfId="0" applyNumberFormat="1" applyFont="1" applyFill="1" applyBorder="1" applyAlignment="1" applyProtection="1">
      <alignment vertical="center"/>
      <protection hidden="1"/>
    </xf>
    <xf numFmtId="37" fontId="47" fillId="6" borderId="130" xfId="0" applyNumberFormat="1" applyFont="1" applyFill="1" applyBorder="1" applyAlignment="1" applyProtection="1">
      <alignment horizontal="centerContinuous" vertical="center"/>
      <protection hidden="1"/>
    </xf>
    <xf numFmtId="37" fontId="47" fillId="6" borderId="34" xfId="0" applyNumberFormat="1" applyFont="1" applyFill="1" applyBorder="1" applyAlignment="1" applyProtection="1">
      <alignment horizontal="centerContinuous" vertical="center"/>
      <protection hidden="1"/>
    </xf>
    <xf numFmtId="37" fontId="47" fillId="6" borderId="32" xfId="0" applyNumberFormat="1" applyFont="1" applyFill="1" applyBorder="1" applyAlignment="1" applyProtection="1">
      <alignment horizontal="centerContinuous" vertical="center"/>
      <protection hidden="1"/>
    </xf>
    <xf numFmtId="0" fontId="1" fillId="3" borderId="14" xfId="17" applyNumberFormat="1" applyFont="1" applyFill="1" applyBorder="1" applyAlignment="1" applyProtection="1">
      <alignment horizontal="center" vertical="center"/>
      <protection hidden="1"/>
    </xf>
    <xf numFmtId="0" fontId="30" fillId="3" borderId="0" xfId="17" applyNumberFormat="1" applyFont="1" applyFill="1" applyBorder="1" applyAlignment="1" applyProtection="1">
      <alignment vertical="center"/>
      <protection hidden="1"/>
    </xf>
    <xf numFmtId="0" fontId="30" fillId="3" borderId="0" xfId="18" applyNumberFormat="1" applyFont="1" applyFill="1" applyBorder="1" applyAlignment="1" applyProtection="1">
      <alignment vertical="center"/>
      <protection hidden="1"/>
    </xf>
    <xf numFmtId="0" fontId="66" fillId="5" borderId="0" xfId="18" applyNumberFormat="1" applyFont="1" applyFill="1" applyBorder="1" applyAlignment="1">
      <alignment vertical="center"/>
      <protection/>
    </xf>
    <xf numFmtId="2" fontId="1" fillId="3" borderId="0" xfId="18" applyNumberFormat="1" applyFont="1" applyFill="1" applyBorder="1" applyAlignment="1" applyProtection="1">
      <alignment vertical="center"/>
      <protection hidden="1"/>
    </xf>
    <xf numFmtId="4" fontId="47" fillId="6" borderId="44" xfId="18" applyNumberFormat="1" applyFont="1" applyFill="1" applyBorder="1" applyAlignment="1" applyProtection="1">
      <alignment vertical="center"/>
      <protection hidden="1"/>
    </xf>
    <xf numFmtId="0" fontId="0" fillId="3" borderId="131" xfId="17" applyNumberFormat="1" applyFont="1" applyFill="1" applyBorder="1" applyAlignment="1" applyProtection="1">
      <alignment vertical="center"/>
      <protection hidden="1"/>
    </xf>
    <xf numFmtId="0" fontId="0" fillId="3" borderId="132" xfId="18" applyNumberFormat="1" applyFont="1" applyFill="1" applyBorder="1" applyAlignment="1">
      <alignment vertical="center"/>
      <protection/>
    </xf>
    <xf numFmtId="0" fontId="0" fillId="3" borderId="133" xfId="18" applyNumberFormat="1" applyFont="1" applyFill="1" applyBorder="1" applyAlignment="1">
      <alignment vertical="center"/>
      <protection/>
    </xf>
    <xf numFmtId="0" fontId="0" fillId="3" borderId="134" xfId="18" applyNumberFormat="1" applyFont="1" applyFill="1" applyBorder="1" applyAlignment="1">
      <alignment vertical="center"/>
      <protection/>
    </xf>
    <xf numFmtId="0" fontId="0" fillId="3" borderId="131" xfId="18" applyNumberFormat="1" applyFont="1" applyFill="1" applyBorder="1" applyAlignment="1">
      <alignment vertical="center"/>
      <protection/>
    </xf>
    <xf numFmtId="0" fontId="0" fillId="3" borderId="0" xfId="18" applyNumberFormat="1" applyFont="1" applyFill="1" applyBorder="1" applyAlignment="1">
      <alignment vertical="center"/>
      <protection/>
    </xf>
    <xf numFmtId="0" fontId="0" fillId="3" borderId="135" xfId="18" applyNumberFormat="1" applyFont="1" applyFill="1" applyBorder="1" applyAlignment="1">
      <alignment vertical="center"/>
      <protection/>
    </xf>
    <xf numFmtId="0" fontId="0" fillId="3" borderId="136" xfId="18" applyNumberFormat="1" applyFont="1" applyFill="1" applyBorder="1" applyAlignment="1">
      <alignment vertical="center"/>
      <protection/>
    </xf>
    <xf numFmtId="0" fontId="0" fillId="3" borderId="137" xfId="18" applyNumberFormat="1" applyFont="1" applyFill="1" applyBorder="1" applyAlignment="1">
      <alignment vertical="center"/>
      <protection/>
    </xf>
    <xf numFmtId="0" fontId="0" fillId="3" borderId="138" xfId="18" applyNumberFormat="1" applyFont="1" applyFill="1" applyBorder="1" applyAlignment="1">
      <alignment vertical="center"/>
      <protection/>
    </xf>
    <xf numFmtId="2" fontId="0" fillId="3" borderId="0" xfId="18" applyNumberFormat="1" applyFont="1" applyFill="1" applyBorder="1" applyAlignment="1">
      <alignment vertical="center"/>
      <protection/>
    </xf>
    <xf numFmtId="0" fontId="0" fillId="3" borderId="139" xfId="18" applyNumberFormat="1" applyFont="1" applyFill="1" applyBorder="1" applyAlignment="1">
      <alignment vertical="center"/>
      <protection/>
    </xf>
    <xf numFmtId="0" fontId="0" fillId="3" borderId="140" xfId="18" applyNumberFormat="1" applyFont="1" applyFill="1" applyBorder="1" applyAlignment="1">
      <alignment vertical="center"/>
      <protection/>
    </xf>
    <xf numFmtId="0" fontId="0" fillId="3" borderId="141" xfId="18" applyNumberFormat="1" applyFont="1" applyFill="1" applyBorder="1" applyAlignment="1">
      <alignment vertical="center"/>
      <protection/>
    </xf>
    <xf numFmtId="0" fontId="0" fillId="3" borderId="142" xfId="18" applyNumberFormat="1" applyFont="1" applyFill="1" applyBorder="1" applyAlignment="1">
      <alignment vertical="center"/>
      <protection/>
    </xf>
    <xf numFmtId="0" fontId="0" fillId="3" borderId="143" xfId="18" applyNumberFormat="1" applyFont="1" applyFill="1" applyBorder="1" applyAlignment="1">
      <alignment vertical="center"/>
      <protection/>
    </xf>
    <xf numFmtId="0" fontId="0" fillId="3" borderId="59" xfId="17" applyNumberFormat="1" applyFont="1" applyFill="1" applyBorder="1" applyAlignment="1" applyProtection="1">
      <alignment horizontal="center" vertical="center"/>
      <protection hidden="1"/>
    </xf>
    <xf numFmtId="2" fontId="0" fillId="3" borderId="14" xfId="17" applyNumberFormat="1" applyFont="1" applyFill="1" applyBorder="1" applyAlignment="1" applyProtection="1">
      <alignment horizontal="center" vertical="center"/>
      <protection hidden="1"/>
    </xf>
    <xf numFmtId="0" fontId="0" fillId="3" borderId="14" xfId="17" applyNumberFormat="1" applyFont="1" applyFill="1" applyBorder="1" applyAlignment="1" applyProtection="1">
      <alignment horizontal="center" vertical="center"/>
      <protection hidden="1"/>
    </xf>
    <xf numFmtId="0" fontId="14" fillId="3" borderId="14" xfId="17" applyNumberFormat="1" applyFont="1" applyFill="1" applyBorder="1" applyAlignment="1" applyProtection="1">
      <alignment horizontal="center" vertical="center"/>
      <protection hidden="1"/>
    </xf>
    <xf numFmtId="0" fontId="0" fillId="3" borderId="18" xfId="17" applyNumberFormat="1" applyFont="1" applyFill="1" applyBorder="1" applyAlignment="1" applyProtection="1">
      <alignment horizontal="center" vertical="center"/>
      <protection hidden="1"/>
    </xf>
    <xf numFmtId="0" fontId="0" fillId="3" borderId="48" xfId="17" applyNumberFormat="1" applyFont="1" applyFill="1" applyBorder="1" applyAlignment="1" applyProtection="1">
      <alignment horizontal="center" vertical="center"/>
      <protection hidden="1"/>
    </xf>
    <xf numFmtId="0" fontId="47" fillId="6" borderId="45" xfId="17" applyNumberFormat="1" applyFont="1" applyFill="1" applyBorder="1" applyAlignment="1" applyProtection="1">
      <alignment horizontal="center" vertical="center"/>
      <protection hidden="1"/>
    </xf>
    <xf numFmtId="0" fontId="0" fillId="3" borderId="17" xfId="17" applyNumberFormat="1" applyFont="1" applyFill="1" applyBorder="1" applyAlignment="1" applyProtection="1">
      <alignment horizontal="center" vertical="center"/>
      <protection hidden="1"/>
    </xf>
    <xf numFmtId="0" fontId="17" fillId="3" borderId="23" xfId="17" applyNumberFormat="1" applyFont="1" applyFill="1" applyBorder="1" applyAlignment="1" applyProtection="1">
      <alignment horizontal="center" vertical="center"/>
      <protection hidden="1"/>
    </xf>
    <xf numFmtId="0" fontId="1" fillId="3" borderId="16" xfId="17" applyNumberFormat="1" applyFont="1" applyFill="1" applyBorder="1" applyAlignment="1" applyProtection="1">
      <alignment vertical="center"/>
      <protection hidden="1"/>
    </xf>
    <xf numFmtId="0" fontId="0" fillId="3" borderId="70" xfId="17" applyNumberFormat="1" applyFont="1" applyFill="1" applyBorder="1" applyAlignment="1" applyProtection="1">
      <alignment vertical="center"/>
      <protection hidden="1"/>
    </xf>
    <xf numFmtId="37" fontId="17" fillId="0" borderId="32" xfId="0" applyNumberFormat="1" applyFont="1" applyFill="1" applyBorder="1" applyAlignment="1" applyProtection="1">
      <alignment vertical="center"/>
      <protection hidden="1"/>
    </xf>
    <xf numFmtId="37" fontId="36" fillId="4" borderId="0" xfId="0" applyNumberFormat="1" applyFont="1" applyFill="1" applyAlignment="1">
      <alignment/>
    </xf>
    <xf numFmtId="37" fontId="0" fillId="2" borderId="0" xfId="0" applyAlignment="1" applyProtection="1">
      <alignment vertical="center"/>
      <protection locked="0"/>
    </xf>
    <xf numFmtId="37" fontId="0" fillId="2" borderId="0" xfId="0" applyNumberFormat="1" applyFont="1" applyAlignment="1">
      <alignment horizontal="right"/>
    </xf>
    <xf numFmtId="37" fontId="17" fillId="0" borderId="0" xfId="0" applyNumberFormat="1" applyFont="1" applyFill="1" applyBorder="1" applyAlignment="1">
      <alignment horizontal="center"/>
    </xf>
    <xf numFmtId="37" fontId="0" fillId="0" borderId="113" xfId="0" applyNumberFormat="1" applyFont="1" applyFill="1" applyBorder="1" applyAlignment="1">
      <alignment/>
    </xf>
    <xf numFmtId="37" fontId="17" fillId="0" borderId="0" xfId="0" applyNumberFormat="1" applyFont="1" applyFill="1" applyBorder="1" applyAlignment="1">
      <alignment/>
    </xf>
    <xf numFmtId="37" fontId="17" fillId="2" borderId="0" xfId="0" applyFont="1" applyFill="1" applyAlignment="1" applyProtection="1">
      <alignment horizontal="right" vertical="center"/>
      <protection hidden="1"/>
    </xf>
    <xf numFmtId="37" fontId="17" fillId="0" borderId="0" xfId="0" applyNumberFormat="1" applyFont="1" applyFill="1" applyBorder="1" applyAlignment="1">
      <alignment horizontal="right"/>
    </xf>
    <xf numFmtId="37" fontId="17" fillId="0" borderId="36" xfId="0" applyNumberFormat="1" applyFont="1" applyFill="1" applyBorder="1" applyAlignment="1">
      <alignment/>
    </xf>
    <xf numFmtId="37" fontId="17" fillId="0" borderId="38" xfId="0" applyNumberFormat="1" applyFont="1" applyFill="1" applyBorder="1" applyAlignment="1">
      <alignment/>
    </xf>
    <xf numFmtId="37" fontId="22" fillId="0" borderId="39" xfId="0" applyNumberFormat="1" applyFont="1" applyFill="1" applyBorder="1" applyAlignment="1">
      <alignment/>
    </xf>
    <xf numFmtId="37" fontId="17" fillId="0" borderId="39" xfId="0" applyNumberFormat="1" applyFont="1" applyFill="1" applyBorder="1" applyAlignment="1">
      <alignment/>
    </xf>
    <xf numFmtId="37" fontId="17" fillId="0" borderId="40" xfId="0" applyNumberFormat="1" applyFont="1" applyFill="1" applyBorder="1" applyAlignment="1">
      <alignment/>
    </xf>
    <xf numFmtId="2" fontId="18" fillId="0" borderId="0" xfId="0" applyNumberFormat="1" applyFont="1" applyFill="1" applyBorder="1" applyAlignment="1">
      <alignment horizontal="right"/>
    </xf>
    <xf numFmtId="180" fontId="18" fillId="0" borderId="0" xfId="0" applyNumberFormat="1" applyFont="1" applyFill="1" applyBorder="1" applyAlignment="1">
      <alignment horizontal="right"/>
    </xf>
    <xf numFmtId="37" fontId="17" fillId="0" borderId="113" xfId="0" applyNumberFormat="1" applyFont="1" applyFill="1" applyBorder="1" applyAlignment="1">
      <alignment horizontal="right"/>
    </xf>
    <xf numFmtId="37" fontId="17" fillId="0" borderId="113" xfId="0" applyNumberFormat="1" applyFont="1" applyFill="1" applyBorder="1" applyAlignment="1">
      <alignment/>
    </xf>
    <xf numFmtId="37" fontId="17" fillId="3" borderId="116" xfId="0" applyNumberFormat="1" applyFont="1" applyFill="1" applyBorder="1" applyAlignment="1">
      <alignment/>
    </xf>
    <xf numFmtId="37" fontId="17" fillId="3" borderId="144" xfId="0" applyNumberFormat="1" applyFont="1" applyFill="1" applyBorder="1" applyAlignment="1">
      <alignment/>
    </xf>
    <xf numFmtId="37" fontId="17" fillId="3" borderId="122" xfId="0" applyNumberFormat="1" applyFont="1" applyFill="1" applyBorder="1" applyAlignment="1">
      <alignment/>
    </xf>
    <xf numFmtId="37" fontId="17" fillId="3" borderId="13" xfId="0" applyNumberFormat="1" applyFont="1" applyFill="1" applyBorder="1" applyAlignment="1">
      <alignment/>
    </xf>
    <xf numFmtId="37" fontId="17" fillId="3" borderId="0" xfId="0" applyNumberFormat="1" applyFont="1" applyFill="1" applyBorder="1" applyAlignment="1">
      <alignment/>
    </xf>
    <xf numFmtId="37" fontId="17" fillId="3" borderId="123" xfId="0" applyNumberFormat="1" applyFont="1" applyFill="1" applyBorder="1" applyAlignment="1">
      <alignment/>
    </xf>
    <xf numFmtId="37" fontId="45" fillId="3" borderId="42" xfId="0" applyNumberFormat="1" applyFont="1" applyFill="1" applyBorder="1" applyAlignment="1" applyProtection="1">
      <alignment/>
      <protection hidden="1"/>
    </xf>
    <xf numFmtId="37" fontId="22" fillId="3" borderId="113" xfId="0" applyNumberFormat="1" applyFont="1" applyFill="1" applyBorder="1" applyAlignment="1">
      <alignment/>
    </xf>
    <xf numFmtId="37" fontId="17" fillId="3" borderId="113" xfId="0" applyNumberFormat="1" applyFont="1" applyFill="1" applyBorder="1" applyAlignment="1">
      <alignment/>
    </xf>
    <xf numFmtId="37" fontId="17" fillId="3" borderId="112" xfId="0" applyNumberFormat="1" applyFont="1" applyFill="1" applyBorder="1" applyAlignment="1">
      <alignment/>
    </xf>
    <xf numFmtId="37" fontId="22" fillId="2" borderId="0" xfId="0" applyFont="1" applyFill="1" applyAlignment="1" applyProtection="1">
      <alignment horizontal="left" vertical="center"/>
      <protection hidden="1"/>
    </xf>
    <xf numFmtId="37" fontId="22" fillId="0" borderId="102" xfId="0" applyNumberFormat="1" applyFont="1" applyFill="1" applyBorder="1" applyAlignment="1" applyProtection="1">
      <alignment horizontal="center"/>
      <protection hidden="1"/>
    </xf>
    <xf numFmtId="37" fontId="45" fillId="0" borderId="103" xfId="0" applyNumberFormat="1" applyFont="1" applyFill="1" applyBorder="1" applyAlignment="1" applyProtection="1">
      <alignment/>
      <protection hidden="1"/>
    </xf>
    <xf numFmtId="37" fontId="4" fillId="2" borderId="113" xfId="0" applyFont="1" applyFill="1" applyBorder="1" applyAlignment="1">
      <alignment vertical="center"/>
    </xf>
    <xf numFmtId="37" fontId="4" fillId="2" borderId="0" xfId="0" applyFont="1" applyFill="1" applyAlignment="1">
      <alignment vertical="center"/>
    </xf>
    <xf numFmtId="37" fontId="4" fillId="2" borderId="0" xfId="0" applyFont="1" applyFill="1" applyAlignment="1" applyProtection="1">
      <alignment vertical="center"/>
      <protection hidden="1"/>
    </xf>
    <xf numFmtId="37" fontId="4" fillId="2" borderId="0" xfId="0" applyFont="1" applyFill="1" applyAlignment="1">
      <alignment horizontal="right" vertical="center"/>
    </xf>
    <xf numFmtId="15" fontId="4" fillId="2" borderId="0" xfId="0" applyNumberFormat="1" applyFont="1" applyFill="1" applyAlignment="1">
      <alignment vertical="center"/>
    </xf>
    <xf numFmtId="15" fontId="17" fillId="2" borderId="0" xfId="0" applyNumberFormat="1" applyFont="1" applyFill="1" applyAlignment="1" applyProtection="1">
      <alignment horizontal="left" vertical="center"/>
      <protection hidden="1"/>
    </xf>
    <xf numFmtId="37" fontId="22" fillId="0" borderId="58" xfId="0" applyNumberFormat="1" applyFont="1" applyFill="1" applyBorder="1" applyAlignment="1" applyProtection="1">
      <alignment horizontal="center"/>
      <protection hidden="1"/>
    </xf>
    <xf numFmtId="37" fontId="17" fillId="3" borderId="0" xfId="0" applyNumberFormat="1" applyFont="1" applyFill="1" applyBorder="1" applyAlignment="1">
      <alignment horizontal="right"/>
    </xf>
    <xf numFmtId="37" fontId="17" fillId="3" borderId="0" xfId="0" applyNumberFormat="1" applyFont="1" applyFill="1" applyBorder="1" applyAlignment="1">
      <alignment horizontal="centerContinuous"/>
    </xf>
    <xf numFmtId="37" fontId="17" fillId="3" borderId="123" xfId="0" applyNumberFormat="1" applyFont="1" applyFill="1" applyBorder="1" applyAlignment="1">
      <alignment horizontal="centerContinuous"/>
    </xf>
    <xf numFmtId="180" fontId="23" fillId="3" borderId="0" xfId="0" applyNumberFormat="1" applyFont="1" applyFill="1" applyBorder="1" applyAlignment="1">
      <alignment/>
    </xf>
    <xf numFmtId="180" fontId="68" fillId="3" borderId="0" xfId="0" applyNumberFormat="1" applyFont="1" applyFill="1" applyBorder="1" applyAlignment="1" applyProtection="1">
      <alignment horizontal="center"/>
      <protection hidden="1"/>
    </xf>
    <xf numFmtId="37" fontId="17" fillId="3" borderId="13" xfId="0" applyNumberFormat="1" applyFont="1" applyFill="1" applyBorder="1" applyAlignment="1" applyProtection="1">
      <alignment horizontal="centerContinuous"/>
      <protection hidden="1"/>
    </xf>
    <xf numFmtId="180" fontId="23" fillId="3" borderId="0" xfId="0" applyNumberFormat="1" applyFont="1" applyFill="1" applyBorder="1" applyAlignment="1" applyProtection="1">
      <alignment/>
      <protection hidden="1"/>
    </xf>
    <xf numFmtId="180" fontId="23" fillId="3" borderId="145" xfId="0" applyNumberFormat="1" applyFont="1" applyFill="1" applyBorder="1" applyAlignment="1" applyProtection="1">
      <alignment/>
      <protection hidden="1"/>
    </xf>
    <xf numFmtId="37" fontId="17" fillId="3" borderId="0" xfId="0" applyNumberFormat="1" applyFont="1" applyFill="1" applyBorder="1" applyAlignment="1" applyProtection="1">
      <alignment horizontal="right"/>
      <protection hidden="1"/>
    </xf>
    <xf numFmtId="37" fontId="17" fillId="3" borderId="0" xfId="0" applyNumberFormat="1" applyFont="1" applyFill="1" applyBorder="1" applyAlignment="1" applyProtection="1">
      <alignment/>
      <protection hidden="1"/>
    </xf>
    <xf numFmtId="37" fontId="17" fillId="2" borderId="0" xfId="0" applyNumberFormat="1" applyFont="1" applyAlignment="1" applyProtection="1">
      <alignment horizontal="right"/>
      <protection hidden="1"/>
    </xf>
    <xf numFmtId="2" fontId="17" fillId="2" borderId="0" xfId="0" applyNumberFormat="1" applyFont="1" applyAlignment="1" applyProtection="1">
      <alignment/>
      <protection hidden="1"/>
    </xf>
    <xf numFmtId="37" fontId="17" fillId="0" borderId="0" xfId="0" applyNumberFormat="1" applyFont="1" applyFill="1" applyBorder="1" applyAlignment="1" applyProtection="1">
      <alignment/>
      <protection hidden="1"/>
    </xf>
    <xf numFmtId="2" fontId="18" fillId="0" borderId="0" xfId="0" applyNumberFormat="1" applyFont="1" applyFill="1" applyBorder="1" applyAlignment="1" applyProtection="1">
      <alignment horizontal="right"/>
      <protection hidden="1"/>
    </xf>
    <xf numFmtId="37" fontId="18" fillId="0" borderId="0" xfId="0" applyNumberFormat="1" applyFont="1" applyFill="1" applyBorder="1" applyAlignment="1" applyProtection="1">
      <alignment horizontal="right"/>
      <protection hidden="1"/>
    </xf>
    <xf numFmtId="37" fontId="17" fillId="0" borderId="0" xfId="0" applyNumberFormat="1" applyFont="1" applyFill="1" applyBorder="1" applyAlignment="1" applyProtection="1">
      <alignment horizontal="right"/>
      <protection hidden="1"/>
    </xf>
    <xf numFmtId="180" fontId="18" fillId="0" borderId="0" xfId="0" applyNumberFormat="1" applyFont="1" applyFill="1" applyBorder="1" applyAlignment="1" applyProtection="1">
      <alignment horizontal="right"/>
      <protection hidden="1"/>
    </xf>
    <xf numFmtId="37" fontId="22" fillId="0" borderId="0" xfId="0" applyNumberFormat="1" applyFont="1" applyFill="1" applyBorder="1" applyAlignment="1" applyProtection="1">
      <alignment/>
      <protection hidden="1"/>
    </xf>
    <xf numFmtId="37" fontId="0" fillId="2" borderId="0" xfId="0" applyNumberFormat="1" applyFont="1" applyAlignment="1" applyProtection="1">
      <alignment/>
      <protection hidden="1"/>
    </xf>
    <xf numFmtId="37" fontId="0" fillId="0" borderId="0" xfId="0" applyNumberFormat="1" applyFont="1" applyFill="1" applyBorder="1" applyAlignment="1" applyProtection="1">
      <alignment/>
      <protection hidden="1"/>
    </xf>
    <xf numFmtId="190" fontId="18" fillId="0" borderId="0" xfId="0" applyNumberFormat="1" applyFont="1" applyFill="1" applyBorder="1" applyAlignment="1" applyProtection="1">
      <alignment/>
      <protection hidden="1"/>
    </xf>
    <xf numFmtId="37" fontId="61" fillId="0" borderId="0" xfId="0" applyNumberFormat="1" applyFont="1" applyFill="1" applyBorder="1" applyAlignment="1" applyProtection="1">
      <alignment horizontal="center"/>
      <protection hidden="1"/>
    </xf>
    <xf numFmtId="37" fontId="57" fillId="5" borderId="0" xfId="0" applyNumberFormat="1" applyFont="1" applyFill="1" applyAlignment="1">
      <alignment horizontal="center"/>
    </xf>
    <xf numFmtId="37" fontId="0" fillId="5" borderId="0" xfId="0" applyNumberFormat="1" applyFill="1" applyAlignment="1">
      <alignment/>
    </xf>
    <xf numFmtId="37" fontId="25" fillId="0" borderId="92" xfId="0" applyNumberFormat="1" applyFont="1" applyFill="1" applyBorder="1" applyAlignment="1" applyProtection="1">
      <alignment horizontal="centerContinuous"/>
      <protection hidden="1"/>
    </xf>
    <xf numFmtId="37" fontId="15" fillId="4" borderId="0" xfId="0" applyNumberFormat="1" applyFont="1" applyFill="1" applyAlignment="1">
      <alignment vertical="center"/>
    </xf>
    <xf numFmtId="2" fontId="18" fillId="0" borderId="0" xfId="0" applyNumberFormat="1" applyFont="1" applyFill="1" applyBorder="1" applyAlignment="1" applyProtection="1">
      <alignment horizontal="left"/>
      <protection hidden="1"/>
    </xf>
    <xf numFmtId="37" fontId="18" fillId="2" borderId="0" xfId="0" applyNumberFormat="1" applyFont="1" applyAlignment="1">
      <alignment/>
    </xf>
    <xf numFmtId="37" fontId="18" fillId="0" borderId="0" xfId="0" applyNumberFormat="1" applyFont="1" applyFill="1" applyBorder="1" applyAlignment="1" applyProtection="1">
      <alignment horizontal="center"/>
      <protection hidden="1"/>
    </xf>
    <xf numFmtId="2" fontId="18" fillId="0" borderId="0" xfId="0" applyNumberFormat="1" applyFont="1" applyFill="1" applyBorder="1" applyAlignment="1" applyProtection="1">
      <alignment horizontal="center"/>
      <protection hidden="1"/>
    </xf>
    <xf numFmtId="180" fontId="18" fillId="0" borderId="0" xfId="0" applyNumberFormat="1" applyFont="1" applyFill="1" applyBorder="1" applyAlignment="1" applyProtection="1">
      <alignment horizontal="center"/>
      <protection hidden="1"/>
    </xf>
    <xf numFmtId="37" fontId="22" fillId="2" borderId="0" xfId="0" applyFont="1" applyFill="1" applyAlignment="1" applyProtection="1">
      <alignment horizontal="right" vertical="center"/>
      <protection hidden="1"/>
    </xf>
    <xf numFmtId="37" fontId="17" fillId="2" borderId="0" xfId="0" applyNumberFormat="1" applyFont="1" applyFill="1" applyAlignment="1" applyProtection="1">
      <alignment horizontal="left" vertical="center"/>
      <protection hidden="1"/>
    </xf>
    <xf numFmtId="37" fontId="70" fillId="5" borderId="0" xfId="16" applyNumberFormat="1" applyFont="1" applyFill="1" applyAlignment="1">
      <alignment horizontal="center"/>
    </xf>
    <xf numFmtId="37" fontId="4" fillId="2" borderId="35" xfId="0" applyNumberFormat="1" applyFont="1" applyFill="1" applyBorder="1" applyAlignment="1" applyProtection="1">
      <alignment horizontal="center"/>
      <protection hidden="1"/>
    </xf>
    <xf numFmtId="37" fontId="4" fillId="2" borderId="0" xfId="0" applyNumberFormat="1" applyFont="1" applyFill="1" applyBorder="1" applyAlignment="1" applyProtection="1">
      <alignment horizontal="center"/>
      <protection hidden="1"/>
    </xf>
    <xf numFmtId="37" fontId="0" fillId="2" borderId="0" xfId="0" applyNumberFormat="1" applyFill="1" applyAlignment="1" applyProtection="1">
      <alignment/>
      <protection hidden="1"/>
    </xf>
    <xf numFmtId="37" fontId="0" fillId="2" borderId="36" xfId="0" applyNumberFormat="1" applyFill="1" applyBorder="1" applyAlignment="1" applyProtection="1">
      <alignment/>
      <protection hidden="1"/>
    </xf>
    <xf numFmtId="37" fontId="4" fillId="2" borderId="146" xfId="0" applyNumberFormat="1" applyFont="1" applyFill="1" applyBorder="1" applyAlignment="1" applyProtection="1">
      <alignment/>
      <protection hidden="1"/>
    </xf>
    <xf numFmtId="37" fontId="4" fillId="2" borderId="113" xfId="0" applyNumberFormat="1" applyFont="1" applyFill="1" applyBorder="1" applyAlignment="1" applyProtection="1">
      <alignment/>
      <protection hidden="1"/>
    </xf>
    <xf numFmtId="37" fontId="0" fillId="2" borderId="113" xfId="0" applyNumberFormat="1" applyFill="1" applyBorder="1" applyAlignment="1" applyProtection="1">
      <alignment/>
      <protection hidden="1"/>
    </xf>
    <xf numFmtId="37" fontId="0" fillId="2" borderId="147" xfId="0" applyNumberFormat="1" applyFill="1" applyBorder="1" applyAlignment="1" applyProtection="1">
      <alignment/>
      <protection hidden="1"/>
    </xf>
    <xf numFmtId="37" fontId="4" fillId="2" borderId="35" xfId="0" applyNumberFormat="1" applyFont="1" applyFill="1" applyBorder="1" applyAlignment="1" applyProtection="1">
      <alignment/>
      <protection hidden="1"/>
    </xf>
    <xf numFmtId="37" fontId="4" fillId="2" borderId="0" xfId="0" applyNumberFormat="1" applyFont="1" applyFill="1" applyBorder="1" applyAlignment="1" applyProtection="1">
      <alignment/>
      <protection hidden="1"/>
    </xf>
    <xf numFmtId="37" fontId="4" fillId="2" borderId="0" xfId="0" applyNumberFormat="1" applyFont="1" applyFill="1" applyAlignment="1" applyProtection="1">
      <alignment/>
      <protection hidden="1"/>
    </xf>
    <xf numFmtId="37" fontId="35" fillId="2" borderId="0" xfId="0" applyNumberFormat="1" applyFont="1" applyFill="1" applyBorder="1" applyAlignment="1" applyProtection="1">
      <alignment/>
      <protection hidden="1"/>
    </xf>
    <xf numFmtId="37" fontId="73" fillId="2" borderId="35" xfId="16" applyNumberFormat="1" applyFont="1" applyFill="1" applyBorder="1" applyAlignment="1" applyProtection="1">
      <alignment/>
      <protection hidden="1"/>
    </xf>
    <xf numFmtId="37" fontId="73" fillId="2" borderId="0" xfId="16" applyNumberFormat="1" applyFont="1" applyFill="1" applyBorder="1" applyAlignment="1" applyProtection="1">
      <alignment/>
      <protection hidden="1"/>
    </xf>
    <xf numFmtId="37" fontId="35" fillId="2" borderId="0" xfId="0" applyNumberFormat="1" applyFont="1" applyFill="1" applyAlignment="1" applyProtection="1">
      <alignment/>
      <protection hidden="1"/>
    </xf>
    <xf numFmtId="37" fontId="35" fillId="2" borderId="36" xfId="0" applyNumberFormat="1" applyFont="1" applyFill="1" applyBorder="1" applyAlignment="1" applyProtection="1">
      <alignment/>
      <protection hidden="1"/>
    </xf>
    <xf numFmtId="37" fontId="4" fillId="2" borderId="39" xfId="0" applyNumberFormat="1" applyFont="1" applyFill="1" applyBorder="1" applyAlignment="1" applyProtection="1">
      <alignment/>
      <protection hidden="1"/>
    </xf>
    <xf numFmtId="37" fontId="0" fillId="2" borderId="39" xfId="0" applyNumberFormat="1" applyFill="1" applyBorder="1" applyAlignment="1" applyProtection="1">
      <alignment/>
      <protection hidden="1"/>
    </xf>
    <xf numFmtId="37" fontId="0" fillId="2" borderId="40" xfId="0" applyNumberFormat="1" applyFill="1" applyBorder="1" applyAlignment="1" applyProtection="1">
      <alignment/>
      <protection hidden="1"/>
    </xf>
    <xf numFmtId="37" fontId="4" fillId="2" borderId="38" xfId="0" applyNumberFormat="1" applyFont="1" applyFill="1" applyBorder="1" applyAlignment="1" applyProtection="1">
      <alignment/>
      <protection hidden="1"/>
    </xf>
    <xf numFmtId="37" fontId="25" fillId="0" borderId="0" xfId="0" applyNumberFormat="1" applyFont="1" applyFill="1" applyBorder="1" applyAlignment="1" applyProtection="1">
      <alignment horizontal="center"/>
      <protection hidden="1"/>
    </xf>
    <xf numFmtId="37" fontId="74" fillId="0" borderId="95" xfId="16" applyNumberFormat="1" applyFont="1" applyFill="1" applyBorder="1" applyAlignment="1" applyProtection="1">
      <alignment horizontal="center"/>
      <protection hidden="1"/>
    </xf>
    <xf numFmtId="0" fontId="0" fillId="5" borderId="0" xfId="19" applyNumberFormat="1" applyFont="1" applyFill="1">
      <alignment/>
      <protection/>
    </xf>
    <xf numFmtId="37" fontId="10" fillId="5" borderId="0" xfId="0" applyNumberFormat="1" applyFont="1" applyFill="1" applyAlignment="1">
      <alignment horizontal="center"/>
    </xf>
    <xf numFmtId="185" fontId="37" fillId="5" borderId="0" xfId="0" applyNumberFormat="1" applyFont="1" applyFill="1" applyAlignment="1" applyProtection="1">
      <alignment horizontal="center" vertical="center"/>
      <protection hidden="1"/>
    </xf>
    <xf numFmtId="185" fontId="11" fillId="5" borderId="0" xfId="0" applyNumberFormat="1" applyFont="1" applyFill="1" applyAlignment="1" applyProtection="1">
      <alignment horizontal="right" vertical="center"/>
      <protection locked="0"/>
    </xf>
    <xf numFmtId="185" fontId="37" fillId="5" borderId="0" xfId="0" applyNumberFormat="1" applyFont="1" applyFill="1" applyAlignment="1" applyProtection="1">
      <alignment horizontal="right" vertical="center"/>
      <protection hidden="1"/>
    </xf>
    <xf numFmtId="37" fontId="17" fillId="0" borderId="113" xfId="0" applyNumberFormat="1" applyFont="1" applyFill="1" applyBorder="1" applyAlignment="1">
      <alignment horizontal="center"/>
    </xf>
    <xf numFmtId="37" fontId="4" fillId="2" borderId="0" xfId="0" applyFont="1" applyFill="1" applyBorder="1" applyAlignment="1">
      <alignment vertical="center"/>
    </xf>
    <xf numFmtId="0" fontId="15" fillId="3" borderId="139" xfId="18" applyNumberFormat="1" applyFont="1" applyFill="1" applyBorder="1" applyAlignment="1" applyProtection="1">
      <alignment vertical="center"/>
      <protection locked="0"/>
    </xf>
    <xf numFmtId="0" fontId="15" fillId="3" borderId="0" xfId="18" applyNumberFormat="1" applyFont="1" applyFill="1" applyBorder="1" applyAlignment="1" applyProtection="1">
      <alignment vertical="center"/>
      <protection locked="0"/>
    </xf>
    <xf numFmtId="0" fontId="15" fillId="3" borderId="142" xfId="18" applyNumberFormat="1" applyFont="1" applyFill="1" applyBorder="1" applyAlignment="1" applyProtection="1">
      <alignment vertical="center"/>
      <protection locked="0"/>
    </xf>
    <xf numFmtId="179" fontId="19" fillId="0" borderId="2" xfId="0" applyNumberFormat="1" applyFont="1" applyFill="1" applyBorder="1" applyAlignment="1" applyProtection="1">
      <alignment horizontal="center" vertical="center"/>
      <protection locked="0"/>
    </xf>
    <xf numFmtId="37" fontId="75" fillId="2" borderId="35" xfId="16" applyNumberFormat="1" applyFont="1" applyFill="1" applyBorder="1" applyAlignment="1" applyProtection="1">
      <alignment/>
      <protection hidden="1"/>
    </xf>
    <xf numFmtId="37" fontId="75" fillId="2" borderId="0" xfId="16" applyNumberFormat="1" applyFont="1" applyFill="1" applyBorder="1" applyAlignment="1" applyProtection="1">
      <alignment/>
      <protection hidden="1"/>
    </xf>
    <xf numFmtId="37" fontId="75" fillId="2" borderId="13" xfId="16" applyNumberFormat="1" applyFont="1" applyFill="1" applyBorder="1" applyAlignment="1" applyProtection="1">
      <alignment/>
      <protection hidden="1"/>
    </xf>
    <xf numFmtId="37" fontId="75" fillId="2" borderId="36" xfId="16" applyNumberFormat="1" applyFont="1" applyFill="1" applyBorder="1" applyAlignment="1" applyProtection="1">
      <alignment/>
      <protection hidden="1"/>
    </xf>
    <xf numFmtId="37" fontId="70" fillId="5" borderId="0" xfId="16" applyFont="1" applyFill="1" applyAlignment="1">
      <alignment horizontal="center"/>
    </xf>
    <xf numFmtId="37" fontId="64" fillId="0" borderId="0" xfId="16" applyNumberFormat="1" applyFill="1" applyAlignment="1" applyProtection="1">
      <alignment/>
      <protection hidden="1"/>
    </xf>
    <xf numFmtId="37" fontId="78" fillId="3" borderId="0" xfId="0" applyNumberFormat="1" applyFont="1" applyFill="1" applyAlignment="1" applyProtection="1">
      <alignment/>
      <protection hidden="1"/>
    </xf>
    <xf numFmtId="37" fontId="61" fillId="0" borderId="0" xfId="0" applyNumberFormat="1" applyFont="1" applyFill="1" applyAlignment="1" applyProtection="1">
      <alignment/>
      <protection hidden="1"/>
    </xf>
    <xf numFmtId="37" fontId="1" fillId="2" borderId="57" xfId="19" applyNumberFormat="1" applyFont="1" applyFill="1" applyBorder="1" applyProtection="1">
      <alignment/>
      <protection hidden="1"/>
    </xf>
    <xf numFmtId="2" fontId="47" fillId="6" borderId="13" xfId="0" applyNumberFormat="1" applyFont="1" applyFill="1" applyBorder="1" applyAlignment="1" applyProtection="1">
      <alignment vertical="center"/>
      <protection hidden="1"/>
    </xf>
    <xf numFmtId="4" fontId="47" fillId="6" borderId="110" xfId="0" applyNumberFormat="1" applyFont="1" applyFill="1" applyBorder="1" applyAlignment="1" applyProtection="1">
      <alignment vertical="center"/>
      <protection hidden="1"/>
    </xf>
    <xf numFmtId="2" fontId="1" fillId="2" borderId="118" xfId="19" applyNumberFormat="1" applyFont="1" applyFill="1" applyBorder="1" applyProtection="1">
      <alignment/>
      <protection hidden="1"/>
    </xf>
    <xf numFmtId="37" fontId="61" fillId="3" borderId="35" xfId="0" applyNumberFormat="1" applyFont="1" applyFill="1" applyBorder="1" applyAlignment="1" applyProtection="1">
      <alignment/>
      <protection hidden="1"/>
    </xf>
    <xf numFmtId="37" fontId="61" fillId="2" borderId="35" xfId="0" applyNumberFormat="1" applyFont="1" applyFill="1" applyBorder="1" applyAlignment="1" applyProtection="1">
      <alignment/>
      <protection hidden="1"/>
    </xf>
    <xf numFmtId="0" fontId="47" fillId="6" borderId="148" xfId="18" applyNumberFormat="1" applyFont="1" applyFill="1" applyBorder="1" applyAlignment="1" applyProtection="1">
      <alignment horizontal="center" vertical="center"/>
      <protection hidden="1"/>
    </xf>
    <xf numFmtId="37" fontId="47" fillId="6" borderId="0" xfId="18" applyNumberFormat="1" applyFont="1" applyFill="1" applyBorder="1" applyAlignment="1" applyProtection="1">
      <alignment vertical="center"/>
      <protection hidden="1"/>
    </xf>
    <xf numFmtId="37" fontId="47" fillId="6" borderId="17" xfId="18" applyNumberFormat="1" applyFont="1" applyFill="1" applyBorder="1" applyAlignment="1" applyProtection="1">
      <alignment vertical="center"/>
      <protection hidden="1"/>
    </xf>
    <xf numFmtId="196" fontId="1" fillId="2" borderId="57" xfId="19" applyNumberFormat="1" applyFont="1" applyFill="1" applyBorder="1" applyProtection="1">
      <alignment/>
      <protection hidden="1"/>
    </xf>
    <xf numFmtId="0" fontId="47" fillId="6" borderId="4" xfId="17" applyNumberFormat="1" applyFont="1" applyFill="1" applyBorder="1" applyAlignment="1" applyProtection="1">
      <alignment horizontal="center" vertical="center"/>
      <protection hidden="1"/>
    </xf>
    <xf numFmtId="0" fontId="47" fillId="6" borderId="0" xfId="17" applyNumberFormat="1" applyFont="1" applyFill="1" applyBorder="1" applyAlignment="1" applyProtection="1">
      <alignment horizontal="center" vertical="center"/>
      <protection hidden="1"/>
    </xf>
    <xf numFmtId="0" fontId="47" fillId="6" borderId="148" xfId="17" applyNumberFormat="1" applyFont="1" applyFill="1" applyBorder="1" applyAlignment="1" applyProtection="1">
      <alignment horizontal="center" vertical="center"/>
      <protection hidden="1"/>
    </xf>
    <xf numFmtId="0" fontId="47" fillId="6" borderId="0" xfId="17" applyNumberFormat="1" applyFont="1" applyFill="1" applyBorder="1" applyAlignment="1" applyProtection="1">
      <alignment vertical="center"/>
      <protection hidden="1"/>
    </xf>
    <xf numFmtId="4" fontId="47" fillId="6" borderId="0" xfId="17" applyNumberFormat="1" applyFont="1" applyFill="1" applyBorder="1" applyAlignment="1" applyProtection="1">
      <alignment vertical="center"/>
      <protection hidden="1"/>
    </xf>
    <xf numFmtId="0" fontId="47" fillId="6" borderId="17" xfId="17" applyNumberFormat="1" applyFont="1" applyFill="1" applyBorder="1" applyAlignment="1" applyProtection="1">
      <alignment vertical="center"/>
      <protection hidden="1"/>
    </xf>
    <xf numFmtId="37" fontId="70" fillId="5" borderId="0" xfId="16" applyNumberFormat="1" applyFont="1" applyFill="1" applyAlignment="1" applyProtection="1">
      <alignment horizontal="center"/>
      <protection hidden="1"/>
    </xf>
    <xf numFmtId="0" fontId="75" fillId="2" borderId="13" xfId="16" applyNumberFormat="1" applyFont="1" applyFill="1" applyBorder="1" applyAlignment="1" applyProtection="1">
      <alignment/>
      <protection hidden="1"/>
    </xf>
    <xf numFmtId="0" fontId="75" fillId="2" borderId="36" xfId="16" applyNumberFormat="1" applyFont="1" applyBorder="1" applyAlignment="1" applyProtection="1">
      <alignment/>
      <protection hidden="1"/>
    </xf>
    <xf numFmtId="0" fontId="75" fillId="2" borderId="0" xfId="16" applyNumberFormat="1" applyFont="1" applyFill="1" applyBorder="1" applyAlignment="1" applyProtection="1">
      <alignment/>
      <protection hidden="1"/>
    </xf>
    <xf numFmtId="0" fontId="75" fillId="2" borderId="0" xfId="16" applyNumberFormat="1" applyFont="1" applyBorder="1" applyAlignment="1" applyProtection="1">
      <alignment/>
      <protection hidden="1"/>
    </xf>
    <xf numFmtId="0" fontId="76" fillId="2" borderId="0" xfId="0" applyNumberFormat="1" applyFont="1" applyBorder="1" applyAlignment="1" applyProtection="1">
      <alignment/>
      <protection hidden="1"/>
    </xf>
    <xf numFmtId="0" fontId="76" fillId="2" borderId="36" xfId="0" applyNumberFormat="1" applyFont="1" applyBorder="1" applyAlignment="1" applyProtection="1">
      <alignment/>
      <protection hidden="1"/>
    </xf>
    <xf numFmtId="0" fontId="75" fillId="2" borderId="36" xfId="16" applyNumberFormat="1" applyFont="1" applyFill="1" applyBorder="1" applyAlignment="1" applyProtection="1">
      <alignment/>
      <protection hidden="1"/>
    </xf>
    <xf numFmtId="0" fontId="76" fillId="2" borderId="123" xfId="0" applyNumberFormat="1" applyFont="1" applyBorder="1" applyAlignment="1" applyProtection="1">
      <alignment/>
      <protection hidden="1"/>
    </xf>
    <xf numFmtId="0" fontId="75" fillId="2" borderId="123" xfId="16" applyNumberFormat="1" applyFont="1" applyFill="1" applyBorder="1" applyAlignment="1" applyProtection="1">
      <alignment/>
      <protection hidden="1"/>
    </xf>
    <xf numFmtId="0" fontId="0" fillId="5" borderId="0" xfId="17" applyNumberFormat="1" applyFont="1" applyFill="1" applyAlignment="1" applyProtection="1">
      <alignment vertical="center"/>
      <protection hidden="1"/>
    </xf>
    <xf numFmtId="37" fontId="70" fillId="5" borderId="0" xfId="16" applyFont="1" applyFill="1" applyAlignment="1" applyProtection="1">
      <alignment horizontal="center"/>
      <protection hidden="1"/>
    </xf>
    <xf numFmtId="37" fontId="0" fillId="5" borderId="0" xfId="0" applyNumberFormat="1" applyFont="1" applyFill="1" applyAlignment="1" applyProtection="1">
      <alignment vertical="center"/>
      <protection hidden="1"/>
    </xf>
    <xf numFmtId="37" fontId="57" fillId="5" borderId="0" xfId="0" applyNumberFormat="1" applyFont="1" applyFill="1" applyAlignment="1" applyProtection="1">
      <alignment horizontal="center"/>
      <protection hidden="1"/>
    </xf>
    <xf numFmtId="37" fontId="10" fillId="5" borderId="0" xfId="0" applyNumberFormat="1" applyFont="1" applyFill="1" applyAlignment="1" applyProtection="1">
      <alignment horizontal="center" vertical="center"/>
      <protection hidden="1"/>
    </xf>
    <xf numFmtId="0" fontId="0" fillId="4" borderId="0" xfId="17" applyNumberFormat="1" applyFont="1" applyFill="1" applyAlignment="1" applyProtection="1">
      <alignment vertical="center"/>
      <protection hidden="1"/>
    </xf>
    <xf numFmtId="37" fontId="10" fillId="4" borderId="0" xfId="0" applyNumberFormat="1" applyFont="1" applyFill="1" applyAlignment="1" applyProtection="1">
      <alignment horizontal="center" vertical="center"/>
      <protection hidden="1"/>
    </xf>
    <xf numFmtId="0" fontId="0" fillId="4" borderId="0" xfId="17" applyNumberFormat="1" applyFont="1" applyFill="1" applyAlignment="1" applyProtection="1">
      <alignment horizontal="centerContinuous" vertical="center"/>
      <protection hidden="1"/>
    </xf>
    <xf numFmtId="0" fontId="0" fillId="3" borderId="32" xfId="17" applyNumberFormat="1" applyFont="1" applyFill="1" applyBorder="1" applyAlignment="1" applyProtection="1">
      <alignment vertical="center"/>
      <protection hidden="1"/>
    </xf>
    <xf numFmtId="0" fontId="18" fillId="3" borderId="34" xfId="17" applyNumberFormat="1" applyFont="1" applyFill="1" applyBorder="1" applyAlignment="1" applyProtection="1">
      <alignment horizontal="center" vertical="center"/>
      <protection hidden="1"/>
    </xf>
    <xf numFmtId="0" fontId="18" fillId="3" borderId="147" xfId="17" applyNumberFormat="1" applyFont="1" applyFill="1" applyBorder="1" applyAlignment="1" applyProtection="1">
      <alignment horizontal="center" vertical="center"/>
      <protection hidden="1"/>
    </xf>
    <xf numFmtId="0" fontId="47" fillId="4" borderId="56" xfId="18" applyNumberFormat="1" applyFont="1" applyFill="1" applyBorder="1" applyAlignment="1" applyProtection="1">
      <alignment vertical="center"/>
      <protection hidden="1"/>
    </xf>
    <xf numFmtId="2" fontId="47" fillId="4" borderId="10" xfId="18" applyNumberFormat="1" applyFont="1" applyFill="1" applyBorder="1" applyAlignment="1" applyProtection="1">
      <alignment vertical="center"/>
      <protection hidden="1"/>
    </xf>
    <xf numFmtId="173" fontId="47" fillId="4" borderId="56" xfId="17" applyNumberFormat="1" applyFont="1" applyFill="1" applyBorder="1" applyAlignment="1" applyProtection="1">
      <alignment vertical="center"/>
      <protection hidden="1"/>
    </xf>
    <xf numFmtId="2" fontId="0" fillId="3" borderId="0" xfId="17" applyNumberFormat="1" applyFont="1" applyFill="1" applyAlignment="1" applyProtection="1">
      <alignment vertical="center"/>
      <protection hidden="1"/>
    </xf>
    <xf numFmtId="2" fontId="47" fillId="4" borderId="149" xfId="17" applyNumberFormat="1" applyFont="1" applyFill="1" applyBorder="1" applyAlignment="1" applyProtection="1">
      <alignment vertical="center"/>
      <protection hidden="1"/>
    </xf>
    <xf numFmtId="37" fontId="47" fillId="3" borderId="26" xfId="0" applyFont="1" applyFill="1" applyBorder="1" applyAlignment="1" applyProtection="1">
      <alignment horizontal="center" vertical="center"/>
      <protection hidden="1"/>
    </xf>
    <xf numFmtId="4" fontId="47" fillId="4" borderId="10" xfId="0" applyNumberFormat="1" applyFont="1" applyFill="1" applyBorder="1" applyAlignment="1" applyProtection="1">
      <alignment vertical="center"/>
      <protection hidden="1"/>
    </xf>
    <xf numFmtId="4" fontId="47" fillId="4" borderId="15" xfId="0" applyNumberFormat="1" applyFont="1" applyFill="1" applyBorder="1" applyAlignment="1" applyProtection="1">
      <alignment vertical="center"/>
      <protection hidden="1"/>
    </xf>
    <xf numFmtId="37" fontId="47" fillId="3" borderId="10" xfId="0" applyFont="1" applyFill="1" applyBorder="1" applyAlignment="1" applyProtection="1">
      <alignment horizontal="center" vertical="center"/>
      <protection hidden="1"/>
    </xf>
    <xf numFmtId="37" fontId="47" fillId="4" borderId="10" xfId="0" applyFont="1" applyFill="1" applyBorder="1" applyAlignment="1" applyProtection="1">
      <alignment horizontal="center" vertical="center"/>
      <protection hidden="1"/>
    </xf>
    <xf numFmtId="0" fontId="47" fillId="6" borderId="80" xfId="17" applyNumberFormat="1" applyFont="1" applyFill="1" applyBorder="1" applyAlignment="1" applyProtection="1">
      <alignment vertical="center"/>
      <protection hidden="1"/>
    </xf>
    <xf numFmtId="0" fontId="0" fillId="4" borderId="0" xfId="17" applyNumberFormat="1" applyFont="1" applyFill="1" applyBorder="1" applyAlignment="1" applyProtection="1">
      <alignment vertical="center"/>
      <protection hidden="1"/>
    </xf>
    <xf numFmtId="2" fontId="0" fillId="4" borderId="0" xfId="17" applyNumberFormat="1" applyFont="1" applyFill="1" applyBorder="1" applyAlignment="1" applyProtection="1">
      <alignment vertical="center"/>
      <protection hidden="1"/>
    </xf>
    <xf numFmtId="37" fontId="0" fillId="4" borderId="0" xfId="17" applyNumberFormat="1" applyFont="1" applyFill="1" applyBorder="1" applyAlignment="1" applyProtection="1">
      <alignment vertical="center"/>
      <protection hidden="1"/>
    </xf>
    <xf numFmtId="2" fontId="0" fillId="9" borderId="0" xfId="17" applyNumberFormat="1" applyFont="1" applyFill="1" applyBorder="1" applyAlignment="1" applyProtection="1">
      <alignment vertical="center"/>
      <protection hidden="1"/>
    </xf>
    <xf numFmtId="0" fontId="46" fillId="5" borderId="0" xfId="17" applyNumberFormat="1" applyFont="1" applyFill="1" applyAlignment="1" applyProtection="1">
      <alignment vertical="center"/>
      <protection hidden="1"/>
    </xf>
    <xf numFmtId="0" fontId="0" fillId="5" borderId="0" xfId="17" applyNumberFormat="1" applyFont="1" applyFill="1" applyBorder="1" applyAlignment="1" applyProtection="1">
      <alignment vertical="center"/>
      <protection hidden="1"/>
    </xf>
    <xf numFmtId="2" fontId="0" fillId="5" borderId="0" xfId="17" applyNumberFormat="1" applyFont="1" applyFill="1" applyBorder="1" applyAlignment="1" applyProtection="1">
      <alignment vertical="center"/>
      <protection hidden="1"/>
    </xf>
    <xf numFmtId="0" fontId="56" fillId="4" borderId="132" xfId="19" applyNumberFormat="1" applyFont="1" applyFill="1" applyBorder="1" applyProtection="1">
      <alignment/>
      <protection hidden="1"/>
    </xf>
    <xf numFmtId="2" fontId="15" fillId="3" borderId="133" xfId="19" applyNumberFormat="1" applyFont="1" applyFill="1" applyBorder="1" applyProtection="1">
      <alignment/>
      <protection hidden="1"/>
    </xf>
    <xf numFmtId="0" fontId="0" fillId="3" borderId="133" xfId="17" applyNumberFormat="1" applyFont="1" applyFill="1" applyBorder="1" applyAlignment="1" applyProtection="1">
      <alignment vertical="center"/>
      <protection hidden="1"/>
    </xf>
    <xf numFmtId="0" fontId="0" fillId="3" borderId="134" xfId="17" applyNumberFormat="1" applyFont="1" applyFill="1" applyBorder="1" applyAlignment="1" applyProtection="1">
      <alignment vertical="center"/>
      <protection hidden="1"/>
    </xf>
    <xf numFmtId="0" fontId="56" fillId="4" borderId="131" xfId="19" applyNumberFormat="1" applyFont="1" applyFill="1" applyBorder="1" applyProtection="1">
      <alignment/>
      <protection hidden="1"/>
    </xf>
    <xf numFmtId="2" fontId="15" fillId="3" borderId="0" xfId="19" applyNumberFormat="1" applyFont="1" applyFill="1" applyBorder="1" applyProtection="1">
      <alignment/>
      <protection hidden="1"/>
    </xf>
    <xf numFmtId="0" fontId="0" fillId="3" borderId="135" xfId="17" applyNumberFormat="1" applyFont="1" applyFill="1" applyBorder="1" applyAlignment="1" applyProtection="1">
      <alignment vertical="center"/>
      <protection hidden="1"/>
    </xf>
    <xf numFmtId="0" fontId="56" fillId="4" borderId="131" xfId="17" applyNumberFormat="1" applyFont="1" applyFill="1" applyBorder="1" applyAlignment="1" applyProtection="1">
      <alignment vertical="center"/>
      <protection hidden="1"/>
    </xf>
    <xf numFmtId="0" fontId="15" fillId="3" borderId="0" xfId="17" applyNumberFormat="1" applyFont="1" applyFill="1" applyBorder="1" applyAlignment="1" applyProtection="1">
      <alignment vertical="center"/>
      <protection hidden="1"/>
    </xf>
    <xf numFmtId="0" fontId="66" fillId="4" borderId="136" xfId="17" applyNumberFormat="1" applyFont="1" applyFill="1" applyBorder="1" applyAlignment="1" applyProtection="1">
      <alignment vertical="center"/>
      <protection hidden="1"/>
    </xf>
    <xf numFmtId="0" fontId="15" fillId="3" borderId="137" xfId="17" applyNumberFormat="1" applyFont="1" applyFill="1" applyBorder="1" applyAlignment="1" applyProtection="1">
      <alignment vertical="center"/>
      <protection hidden="1"/>
    </xf>
    <xf numFmtId="0" fontId="0" fillId="3" borderId="137" xfId="17" applyNumberFormat="1" applyFont="1" applyFill="1" applyBorder="1" applyAlignment="1" applyProtection="1">
      <alignment vertical="center"/>
      <protection hidden="1"/>
    </xf>
    <xf numFmtId="0" fontId="0" fillId="3" borderId="138" xfId="17" applyNumberFormat="1" applyFont="1" applyFill="1" applyBorder="1" applyAlignment="1" applyProtection="1">
      <alignment vertical="center"/>
      <protection hidden="1"/>
    </xf>
    <xf numFmtId="0" fontId="0" fillId="3" borderId="132" xfId="17" applyNumberFormat="1" applyFont="1" applyFill="1" applyBorder="1" applyAlignment="1" applyProtection="1">
      <alignment vertical="center"/>
      <protection hidden="1"/>
    </xf>
    <xf numFmtId="2" fontId="0" fillId="3" borderId="133" xfId="17" applyNumberFormat="1" applyFont="1" applyFill="1" applyBorder="1" applyAlignment="1" applyProtection="1">
      <alignment vertical="center"/>
      <protection hidden="1"/>
    </xf>
    <xf numFmtId="0" fontId="0" fillId="3" borderId="136" xfId="17" applyNumberFormat="1" applyFont="1" applyFill="1" applyBorder="1" applyAlignment="1" applyProtection="1">
      <alignment vertical="center"/>
      <protection hidden="1"/>
    </xf>
    <xf numFmtId="2" fontId="0" fillId="3" borderId="137" xfId="17" applyNumberFormat="1" applyFont="1" applyFill="1" applyBorder="1" applyAlignment="1" applyProtection="1">
      <alignment vertical="center"/>
      <protection hidden="1"/>
    </xf>
    <xf numFmtId="2" fontId="0" fillId="5" borderId="0" xfId="17" applyNumberFormat="1" applyFont="1" applyFill="1" applyAlignment="1" applyProtection="1">
      <alignment vertical="center"/>
      <protection hidden="1"/>
    </xf>
    <xf numFmtId="2" fontId="47" fillId="4" borderId="56" xfId="0" applyNumberFormat="1" applyFont="1" applyFill="1" applyBorder="1" applyAlignment="1" applyProtection="1">
      <alignment vertical="center"/>
      <protection hidden="1"/>
    </xf>
    <xf numFmtId="172" fontId="47" fillId="4" borderId="57" xfId="0" applyNumberFormat="1" applyFont="1" applyFill="1" applyBorder="1" applyAlignment="1" applyProtection="1">
      <alignment vertical="center"/>
      <protection hidden="1"/>
    </xf>
    <xf numFmtId="4" fontId="47" fillId="4" borderId="0" xfId="0" applyNumberFormat="1" applyFont="1" applyFill="1" applyBorder="1" applyAlignment="1" applyProtection="1">
      <alignment vertical="center"/>
      <protection hidden="1"/>
    </xf>
    <xf numFmtId="1" fontId="47" fillId="4" borderId="62" xfId="0" applyNumberFormat="1" applyFont="1" applyFill="1" applyBorder="1" applyAlignment="1" applyProtection="1">
      <alignment horizontal="center" vertical="center"/>
      <protection hidden="1"/>
    </xf>
    <xf numFmtId="4" fontId="47" fillId="4" borderId="58" xfId="0" applyNumberFormat="1" applyFont="1" applyFill="1" applyBorder="1" applyAlignment="1" applyProtection="1">
      <alignment vertical="center"/>
      <protection hidden="1"/>
    </xf>
    <xf numFmtId="2" fontId="47" fillId="4" borderId="58" xfId="0" applyNumberFormat="1" applyFont="1" applyFill="1" applyBorder="1" applyAlignment="1" applyProtection="1">
      <alignment vertical="center"/>
      <protection hidden="1"/>
    </xf>
    <xf numFmtId="39" fontId="47" fillId="4" borderId="0" xfId="0" applyNumberFormat="1" applyFont="1" applyFill="1" applyBorder="1" applyAlignment="1" applyProtection="1">
      <alignment vertical="center"/>
      <protection hidden="1"/>
    </xf>
    <xf numFmtId="0" fontId="47" fillId="4" borderId="56" xfId="18" applyNumberFormat="1" applyFont="1" applyFill="1" applyBorder="1" applyAlignment="1" applyProtection="1">
      <alignment horizontal="center" vertical="center"/>
      <protection hidden="1"/>
    </xf>
    <xf numFmtId="2" fontId="47" fillId="4" borderId="58" xfId="18" applyNumberFormat="1" applyFont="1" applyFill="1" applyBorder="1" applyAlignment="1" applyProtection="1">
      <alignment vertical="center"/>
      <protection hidden="1"/>
    </xf>
    <xf numFmtId="172" fontId="47" fillId="4" borderId="58" xfId="18" applyNumberFormat="1" applyFont="1" applyFill="1" applyBorder="1" applyAlignment="1" applyProtection="1">
      <alignment vertical="center"/>
      <protection hidden="1"/>
    </xf>
    <xf numFmtId="2" fontId="47" fillId="4" borderId="150" xfId="17" applyNumberFormat="1" applyFont="1" applyFill="1" applyBorder="1" applyAlignment="1" applyProtection="1">
      <alignment vertical="center"/>
      <protection hidden="1"/>
    </xf>
    <xf numFmtId="172" fontId="17" fillId="3" borderId="58" xfId="18" applyNumberFormat="1" applyFont="1" applyFill="1" applyBorder="1" applyAlignment="1" applyProtection="1">
      <alignment horizontal="center" vertical="center"/>
      <protection hidden="1"/>
    </xf>
    <xf numFmtId="2" fontId="47" fillId="4" borderId="151" xfId="0" applyNumberFormat="1" applyFont="1" applyFill="1" applyBorder="1" applyAlignment="1" applyProtection="1">
      <alignment vertical="center"/>
      <protection hidden="1"/>
    </xf>
    <xf numFmtId="0" fontId="56" fillId="4" borderId="152" xfId="18" applyNumberFormat="1" applyFont="1" applyFill="1" applyBorder="1" applyAlignment="1" applyProtection="1">
      <alignment vertical="center"/>
      <protection hidden="1"/>
    </xf>
    <xf numFmtId="0" fontId="56" fillId="4" borderId="153" xfId="18" applyNumberFormat="1" applyFont="1" applyFill="1" applyBorder="1" applyAlignment="1" applyProtection="1">
      <alignment vertical="center"/>
      <protection hidden="1"/>
    </xf>
    <xf numFmtId="0" fontId="56" fillId="4" borderId="154" xfId="18" applyNumberFormat="1" applyFont="1" applyFill="1" applyBorder="1" applyAlignment="1" applyProtection="1">
      <alignment vertical="center"/>
      <protection hidden="1"/>
    </xf>
    <xf numFmtId="0" fontId="57" fillId="4" borderId="58" xfId="18" applyNumberFormat="1" applyFont="1" applyFill="1" applyBorder="1" applyAlignment="1" applyProtection="1">
      <alignment horizontal="center" vertical="center"/>
      <protection hidden="1"/>
    </xf>
    <xf numFmtId="10" fontId="57" fillId="4" borderId="123" xfId="0" applyNumberFormat="1" applyFont="1" applyFill="1" applyBorder="1" applyAlignment="1" applyProtection="1">
      <alignment horizontal="center" vertical="center"/>
      <protection hidden="1"/>
    </xf>
    <xf numFmtId="44" fontId="47" fillId="4" borderId="0" xfId="0" applyNumberFormat="1" applyFont="1" applyFill="1" applyBorder="1" applyAlignment="1" applyProtection="1">
      <alignment vertical="center"/>
      <protection hidden="1"/>
    </xf>
    <xf numFmtId="173" fontId="26" fillId="8" borderId="0" xfId="19" applyNumberFormat="1" applyFont="1" applyFill="1" applyAlignment="1" applyProtection="1">
      <alignment horizontal="left" vertical="center"/>
      <protection hidden="1"/>
    </xf>
    <xf numFmtId="173" fontId="26" fillId="8" borderId="155" xfId="19" applyNumberFormat="1" applyFont="1" applyFill="1" applyBorder="1" applyAlignment="1" applyProtection="1">
      <alignment horizontal="left" vertical="center"/>
      <protection hidden="1"/>
    </xf>
    <xf numFmtId="15" fontId="14" fillId="8" borderId="26" xfId="19" applyNumberFormat="1" applyFont="1" applyFill="1" applyBorder="1" applyAlignment="1" applyProtection="1">
      <alignment horizontal="center"/>
      <protection hidden="1"/>
    </xf>
    <xf numFmtId="10" fontId="2" fillId="8" borderId="156" xfId="19" applyNumberFormat="1" applyFont="1" applyFill="1" applyBorder="1" applyAlignment="1" applyProtection="1">
      <alignment horizontal="center"/>
      <protection hidden="1"/>
    </xf>
    <xf numFmtId="15" fontId="14" fillId="8" borderId="0" xfId="19" applyNumberFormat="1" applyFont="1" applyFill="1" applyBorder="1" applyProtection="1">
      <alignment/>
      <protection hidden="1"/>
    </xf>
    <xf numFmtId="37" fontId="0" fillId="8" borderId="10" xfId="19" applyNumberFormat="1" applyFont="1" applyFill="1" applyBorder="1" applyProtection="1">
      <alignment/>
      <protection hidden="1"/>
    </xf>
    <xf numFmtId="3" fontId="0" fillId="8" borderId="123" xfId="19" applyNumberFormat="1" applyFont="1" applyFill="1" applyBorder="1" applyAlignment="1" applyProtection="1">
      <alignment horizontal="right"/>
      <protection hidden="1"/>
    </xf>
    <xf numFmtId="37" fontId="1" fillId="8" borderId="26" xfId="19" applyNumberFormat="1" applyFont="1" applyFill="1" applyBorder="1" applyProtection="1">
      <alignment/>
      <protection hidden="1"/>
    </xf>
    <xf numFmtId="3" fontId="1" fillId="8" borderId="58" xfId="19" applyNumberFormat="1" applyFont="1" applyFill="1" applyBorder="1" applyProtection="1">
      <alignment/>
      <protection hidden="1"/>
    </xf>
    <xf numFmtId="3" fontId="1" fillId="8" borderId="123" xfId="19" applyNumberFormat="1" applyFont="1" applyFill="1" applyBorder="1" applyProtection="1">
      <alignment/>
      <protection hidden="1"/>
    </xf>
    <xf numFmtId="3" fontId="1" fillId="8" borderId="112" xfId="19" applyNumberFormat="1" applyFont="1" applyFill="1" applyBorder="1" applyProtection="1">
      <alignment/>
      <protection hidden="1"/>
    </xf>
    <xf numFmtId="37" fontId="14" fillId="8" borderId="118" xfId="19" applyNumberFormat="1" applyFont="1" applyFill="1" applyBorder="1" applyAlignment="1" applyProtection="1">
      <alignment horizontal="center"/>
      <protection hidden="1"/>
    </xf>
    <xf numFmtId="3" fontId="0" fillId="8" borderId="102" xfId="19" applyNumberFormat="1" applyFont="1" applyFill="1" applyBorder="1" applyProtection="1">
      <alignment/>
      <protection hidden="1"/>
    </xf>
    <xf numFmtId="3" fontId="1" fillId="8" borderId="58" xfId="19" applyNumberFormat="1" applyFont="1" applyFill="1" applyBorder="1" applyProtection="1" quotePrefix="1">
      <alignment/>
      <protection hidden="1"/>
    </xf>
    <xf numFmtId="189" fontId="0" fillId="8" borderId="122" xfId="19" applyNumberFormat="1" applyFont="1" applyFill="1" applyBorder="1" applyProtection="1">
      <alignment/>
      <protection hidden="1"/>
    </xf>
    <xf numFmtId="189" fontId="0" fillId="8" borderId="123" xfId="19" applyNumberFormat="1" applyFont="1" applyFill="1" applyBorder="1" applyProtection="1">
      <alignment/>
      <protection hidden="1"/>
    </xf>
    <xf numFmtId="2" fontId="33" fillId="8" borderId="118" xfId="19" applyNumberFormat="1" applyFont="1" applyFill="1" applyBorder="1" applyAlignment="1" applyProtection="1">
      <alignment horizontal="center"/>
      <protection hidden="1"/>
    </xf>
    <xf numFmtId="6" fontId="0" fillId="8" borderId="26" xfId="19" applyNumberFormat="1" applyFont="1" applyFill="1" applyBorder="1" applyProtection="1">
      <alignment/>
      <protection hidden="1"/>
    </xf>
    <xf numFmtId="15" fontId="1" fillId="8" borderId="157" xfId="19" applyNumberFormat="1" applyFont="1" applyFill="1" applyBorder="1" applyAlignment="1" applyProtection="1">
      <alignment horizontal="center"/>
      <protection hidden="1"/>
    </xf>
    <xf numFmtId="15" fontId="14" fillId="8" borderId="1" xfId="19" applyNumberFormat="1" applyFont="1" applyFill="1" applyBorder="1" applyProtection="1">
      <alignment/>
      <protection hidden="1"/>
    </xf>
    <xf numFmtId="37" fontId="15" fillId="8" borderId="113" xfId="0" applyFont="1" applyFill="1" applyBorder="1" applyAlignment="1" applyProtection="1">
      <alignment/>
      <protection hidden="1"/>
    </xf>
    <xf numFmtId="37" fontId="4" fillId="8" borderId="113" xfId="0" applyFont="1" applyFill="1" applyBorder="1" applyAlignment="1" applyProtection="1">
      <alignment vertical="center"/>
      <protection hidden="1"/>
    </xf>
    <xf numFmtId="37" fontId="69" fillId="8" borderId="113" xfId="0" applyFont="1" applyFill="1" applyBorder="1" applyAlignment="1" applyProtection="1">
      <alignment vertical="center"/>
      <protection hidden="1"/>
    </xf>
    <xf numFmtId="37" fontId="0" fillId="8" borderId="113" xfId="0" applyFont="1" applyFill="1" applyBorder="1" applyAlignment="1" applyProtection="1">
      <alignment/>
      <protection hidden="1"/>
    </xf>
    <xf numFmtId="0" fontId="25" fillId="2" borderId="158" xfId="19" applyNumberFormat="1" applyFont="1" applyFill="1" applyBorder="1" applyAlignment="1" applyProtection="1">
      <alignment horizontal="left" vertical="center"/>
      <protection hidden="1"/>
    </xf>
    <xf numFmtId="0" fontId="26" fillId="2" borderId="159" xfId="19" applyNumberFormat="1" applyFont="1" applyFill="1" applyBorder="1" applyAlignment="1" applyProtection="1">
      <alignment horizontal="left" vertical="center"/>
      <protection hidden="1"/>
    </xf>
    <xf numFmtId="0" fontId="27" fillId="2" borderId="159" xfId="19" applyNumberFormat="1" applyFont="1" applyFill="1" applyBorder="1" applyAlignment="1" applyProtection="1">
      <alignment vertical="center"/>
      <protection hidden="1"/>
    </xf>
    <xf numFmtId="0" fontId="0" fillId="2" borderId="160" xfId="19" applyNumberFormat="1" applyFont="1" applyFill="1" applyBorder="1" applyAlignment="1" applyProtection="1">
      <alignment vertical="center"/>
      <protection hidden="1"/>
    </xf>
    <xf numFmtId="0" fontId="0" fillId="2" borderId="0" xfId="19" applyNumberFormat="1" applyFont="1" applyFill="1" applyAlignment="1" applyProtection="1">
      <alignment vertical="center"/>
      <protection hidden="1"/>
    </xf>
    <xf numFmtId="0" fontId="0" fillId="10" borderId="0" xfId="19" applyNumberFormat="1" applyFont="1" applyFill="1" applyAlignment="1" applyProtection="1">
      <alignment vertical="center"/>
      <protection hidden="1"/>
    </xf>
    <xf numFmtId="0" fontId="0" fillId="7" borderId="0" xfId="19" applyNumberFormat="1" applyFont="1" applyFill="1" applyAlignment="1" applyProtection="1">
      <alignment vertical="center"/>
      <protection hidden="1"/>
    </xf>
    <xf numFmtId="185" fontId="11" fillId="7" borderId="0" xfId="0" applyNumberFormat="1" applyFont="1" applyFill="1" applyAlignment="1" applyProtection="1">
      <alignment horizontal="right" vertical="center"/>
      <protection hidden="1"/>
    </xf>
    <xf numFmtId="0" fontId="0" fillId="3" borderId="0" xfId="19" applyNumberFormat="1" applyFont="1" applyFill="1" applyAlignment="1" applyProtection="1">
      <alignment vertical="center"/>
      <protection hidden="1"/>
    </xf>
    <xf numFmtId="37" fontId="10" fillId="2" borderId="161" xfId="0" applyNumberFormat="1" applyFont="1" applyFill="1" applyBorder="1" applyAlignment="1" applyProtection="1">
      <alignment horizontal="center" vertical="center"/>
      <protection hidden="1"/>
    </xf>
    <xf numFmtId="0" fontId="27" fillId="2" borderId="0" xfId="19" applyNumberFormat="1" applyFont="1" applyFill="1" applyAlignment="1" applyProtection="1">
      <alignment vertical="center"/>
      <protection hidden="1"/>
    </xf>
    <xf numFmtId="0" fontId="0" fillId="2" borderId="162" xfId="19" applyNumberFormat="1" applyFont="1" applyFill="1" applyBorder="1" applyAlignment="1" applyProtection="1">
      <alignment vertical="center"/>
      <protection hidden="1"/>
    </xf>
    <xf numFmtId="0" fontId="27" fillId="2" borderId="0" xfId="19" applyNumberFormat="1" applyFont="1" applyFill="1" applyAlignment="1" applyProtection="1">
      <alignment horizontal="center" vertical="center"/>
      <protection hidden="1"/>
    </xf>
    <xf numFmtId="0" fontId="28" fillId="2" borderId="0" xfId="19" applyNumberFormat="1" applyFont="1" applyFill="1" applyAlignment="1" applyProtection="1">
      <alignment horizontal="right" vertical="center"/>
      <protection hidden="1"/>
    </xf>
    <xf numFmtId="0" fontId="29" fillId="7" borderId="0" xfId="19" applyNumberFormat="1" applyFont="1" applyFill="1" applyAlignment="1" applyProtection="1">
      <alignment vertical="center"/>
      <protection hidden="1"/>
    </xf>
    <xf numFmtId="0" fontId="30" fillId="7" borderId="0" xfId="19" applyNumberFormat="1" applyFont="1" applyFill="1" applyAlignment="1" applyProtection="1">
      <alignment vertical="center"/>
      <protection hidden="1"/>
    </xf>
    <xf numFmtId="37" fontId="10" fillId="2" borderId="163" xfId="0" applyNumberFormat="1" applyFont="1" applyFill="1" applyBorder="1" applyAlignment="1" applyProtection="1">
      <alignment horizontal="center" vertical="center"/>
      <protection hidden="1"/>
    </xf>
    <xf numFmtId="0" fontId="0" fillId="2" borderId="155" xfId="19" applyNumberFormat="1" applyFont="1" applyFill="1" applyBorder="1" applyAlignment="1" applyProtection="1">
      <alignment vertical="center"/>
      <protection hidden="1"/>
    </xf>
    <xf numFmtId="0" fontId="27" fillId="2" borderId="155" xfId="19" applyNumberFormat="1" applyFont="1" applyFill="1" applyBorder="1" applyAlignment="1" applyProtection="1">
      <alignment vertical="center"/>
      <protection hidden="1"/>
    </xf>
    <xf numFmtId="0" fontId="27" fillId="2" borderId="155" xfId="19" applyNumberFormat="1" applyFont="1" applyFill="1" applyBorder="1" applyAlignment="1" applyProtection="1">
      <alignment horizontal="center" vertical="center"/>
      <protection hidden="1"/>
    </xf>
    <xf numFmtId="0" fontId="28" fillId="2" borderId="155" xfId="19" applyNumberFormat="1" applyFont="1" applyFill="1" applyBorder="1" applyAlignment="1" applyProtection="1">
      <alignment horizontal="right" vertical="center"/>
      <protection hidden="1"/>
    </xf>
    <xf numFmtId="0" fontId="0" fillId="2" borderId="164" xfId="19" applyNumberFormat="1" applyFont="1" applyFill="1" applyBorder="1" applyAlignment="1" applyProtection="1">
      <alignment vertical="center"/>
      <protection hidden="1"/>
    </xf>
    <xf numFmtId="37" fontId="10" fillId="2" borderId="0" xfId="0" applyNumberFormat="1" applyFont="1" applyFill="1" applyAlignment="1" applyProtection="1">
      <alignment horizontal="center"/>
      <protection hidden="1"/>
    </xf>
    <xf numFmtId="0" fontId="0" fillId="2" borderId="0" xfId="19" applyNumberFormat="1" applyFont="1" applyFill="1" applyProtection="1">
      <alignment/>
      <protection hidden="1"/>
    </xf>
    <xf numFmtId="0" fontId="0" fillId="10" borderId="0" xfId="19" applyNumberFormat="1" applyFont="1" applyFill="1" applyProtection="1">
      <alignment/>
      <protection hidden="1"/>
    </xf>
    <xf numFmtId="0" fontId="0" fillId="7" borderId="0" xfId="19" applyNumberFormat="1" applyFont="1" applyFill="1" applyProtection="1">
      <alignment/>
      <protection hidden="1"/>
    </xf>
    <xf numFmtId="0" fontId="0" fillId="3" borderId="0" xfId="19" applyNumberFormat="1" applyFont="1" applyFill="1" applyProtection="1">
      <alignment/>
      <protection hidden="1"/>
    </xf>
    <xf numFmtId="0" fontId="1" fillId="2" borderId="0" xfId="19" applyNumberFormat="1" applyFont="1" applyFill="1" applyProtection="1">
      <alignment/>
      <protection hidden="1"/>
    </xf>
    <xf numFmtId="15" fontId="0" fillId="2" borderId="118" xfId="19" applyNumberFormat="1" applyFont="1" applyFill="1" applyBorder="1" applyProtection="1">
      <alignment/>
      <protection hidden="1"/>
    </xf>
    <xf numFmtId="15" fontId="0" fillId="2" borderId="0" xfId="19" applyNumberFormat="1" applyFont="1" applyFill="1" applyBorder="1" applyProtection="1">
      <alignment/>
      <protection hidden="1"/>
    </xf>
    <xf numFmtId="0" fontId="31" fillId="2" borderId="0" xfId="19" applyNumberFormat="1" applyFont="1" applyFill="1" applyAlignment="1" applyProtection="1">
      <alignment horizontal="left"/>
      <protection hidden="1"/>
    </xf>
    <xf numFmtId="0" fontId="1" fillId="2" borderId="0" xfId="19" applyNumberFormat="1" applyFont="1" applyFill="1" applyProtection="1">
      <alignment/>
      <protection hidden="1"/>
    </xf>
    <xf numFmtId="0" fontId="31" fillId="2" borderId="0" xfId="19" applyNumberFormat="1" applyFont="1" applyFill="1" applyAlignment="1" applyProtection="1">
      <alignment horizontal="right"/>
      <protection hidden="1"/>
    </xf>
    <xf numFmtId="0" fontId="0" fillId="2" borderId="0" xfId="19" applyNumberFormat="1" applyFont="1" applyFill="1" applyProtection="1">
      <alignment/>
      <protection hidden="1"/>
    </xf>
    <xf numFmtId="0" fontId="1" fillId="2" borderId="0" xfId="19" applyNumberFormat="1" applyFont="1" applyFill="1" applyAlignment="1" applyProtection="1">
      <alignment horizontal="centerContinuous"/>
      <protection hidden="1"/>
    </xf>
    <xf numFmtId="0" fontId="0" fillId="7" borderId="0" xfId="19" applyNumberFormat="1" applyFont="1" applyFill="1" applyProtection="1">
      <alignment/>
      <protection hidden="1"/>
    </xf>
    <xf numFmtId="0" fontId="1" fillId="7" borderId="0" xfId="19" applyNumberFormat="1" applyFont="1" applyFill="1" applyProtection="1">
      <alignment/>
      <protection hidden="1"/>
    </xf>
    <xf numFmtId="37" fontId="1" fillId="2" borderId="0" xfId="19" applyNumberFormat="1" applyFont="1" applyFill="1" applyProtection="1">
      <alignment/>
      <protection hidden="1"/>
    </xf>
    <xf numFmtId="37" fontId="31" fillId="2" borderId="0" xfId="19" applyNumberFormat="1" applyFont="1" applyFill="1" applyProtection="1">
      <alignment/>
      <protection hidden="1"/>
    </xf>
    <xf numFmtId="37" fontId="1" fillId="2" borderId="0" xfId="19" applyNumberFormat="1" applyFont="1" applyFill="1" applyProtection="1">
      <alignment/>
      <protection hidden="1"/>
    </xf>
    <xf numFmtId="37" fontId="31" fillId="2" borderId="0" xfId="19" applyNumberFormat="1" applyFont="1" applyFill="1" applyAlignment="1" applyProtection="1">
      <alignment horizontal="right"/>
      <protection hidden="1"/>
    </xf>
    <xf numFmtId="0" fontId="1" fillId="2" borderId="165" xfId="19" applyNumberFormat="1" applyFont="1" applyFill="1" applyBorder="1" applyAlignment="1" applyProtection="1">
      <alignment horizontal="left"/>
      <protection hidden="1"/>
    </xf>
    <xf numFmtId="0" fontId="30" fillId="2" borderId="0" xfId="19" applyNumberFormat="1" applyFont="1" applyFill="1" applyBorder="1" applyAlignment="1" applyProtection="1">
      <alignment horizontal="left"/>
      <protection hidden="1"/>
    </xf>
    <xf numFmtId="0" fontId="2" fillId="2" borderId="0" xfId="19" applyNumberFormat="1" applyFont="1" applyFill="1" applyProtection="1">
      <alignment/>
      <protection hidden="1"/>
    </xf>
    <xf numFmtId="37" fontId="1" fillId="2" borderId="116" xfId="19" applyNumberFormat="1" applyFont="1" applyFill="1" applyBorder="1" applyProtection="1">
      <alignment/>
      <protection hidden="1"/>
    </xf>
    <xf numFmtId="37" fontId="1" fillId="2" borderId="122" xfId="19" applyNumberFormat="1" applyFont="1" applyFill="1" applyBorder="1" applyProtection="1">
      <alignment/>
      <protection hidden="1"/>
    </xf>
    <xf numFmtId="0" fontId="1" fillId="2" borderId="166" xfId="19" applyNumberFormat="1" applyFont="1" applyFill="1" applyBorder="1" applyAlignment="1" applyProtection="1">
      <alignment horizontal="left"/>
      <protection hidden="1"/>
    </xf>
    <xf numFmtId="0" fontId="1" fillId="2" borderId="167" xfId="19" applyNumberFormat="1" applyFont="1" applyFill="1" applyBorder="1" applyAlignment="1" applyProtection="1">
      <alignment horizontal="left"/>
      <protection hidden="1"/>
    </xf>
    <xf numFmtId="0" fontId="0" fillId="2" borderId="168" xfId="19" applyNumberFormat="1" applyFont="1" applyFill="1" applyBorder="1" applyProtection="1">
      <alignment/>
      <protection hidden="1"/>
    </xf>
    <xf numFmtId="0" fontId="0" fillId="2" borderId="3" xfId="19" applyNumberFormat="1" applyFont="1" applyFill="1" applyBorder="1" applyProtection="1">
      <alignment/>
      <protection hidden="1"/>
    </xf>
    <xf numFmtId="0" fontId="0" fillId="2" borderId="0" xfId="19" applyNumberFormat="1" applyFont="1" applyFill="1" applyBorder="1" applyProtection="1">
      <alignment/>
      <protection hidden="1"/>
    </xf>
    <xf numFmtId="0" fontId="0" fillId="0" borderId="168" xfId="19" applyNumberFormat="1" applyFont="1" applyFill="1" applyBorder="1" applyProtection="1">
      <alignment/>
      <protection hidden="1"/>
    </xf>
    <xf numFmtId="0" fontId="0" fillId="0" borderId="3" xfId="19" applyNumberFormat="1" applyFont="1" applyFill="1" applyBorder="1" applyProtection="1">
      <alignment/>
      <protection hidden="1"/>
    </xf>
    <xf numFmtId="37" fontId="1" fillId="7" borderId="116" xfId="19" applyNumberFormat="1" applyFont="1" applyFill="1" applyBorder="1" applyProtection="1">
      <alignment/>
      <protection hidden="1"/>
    </xf>
    <xf numFmtId="37" fontId="1" fillId="7" borderId="122" xfId="19" applyNumberFormat="1" applyFont="1" applyFill="1" applyBorder="1" applyProtection="1">
      <alignment/>
      <protection hidden="1"/>
    </xf>
    <xf numFmtId="0" fontId="1" fillId="7" borderId="169" xfId="19" applyNumberFormat="1" applyFont="1" applyFill="1" applyBorder="1" applyAlignment="1" applyProtection="1">
      <alignment horizontal="left"/>
      <protection hidden="1"/>
    </xf>
    <xf numFmtId="0" fontId="1" fillId="7" borderId="167" xfId="19" applyNumberFormat="1" applyFont="1" applyFill="1" applyBorder="1" applyAlignment="1" applyProtection="1">
      <alignment horizontal="left"/>
      <protection hidden="1"/>
    </xf>
    <xf numFmtId="0" fontId="0" fillId="7" borderId="168" xfId="19" applyNumberFormat="1" applyFont="1" applyFill="1" applyBorder="1" applyProtection="1">
      <alignment/>
      <protection hidden="1"/>
    </xf>
    <xf numFmtId="0" fontId="0" fillId="7" borderId="3" xfId="19" applyNumberFormat="1" applyFont="1" applyFill="1" applyBorder="1" applyProtection="1">
      <alignment/>
      <protection hidden="1"/>
    </xf>
    <xf numFmtId="0" fontId="0" fillId="7" borderId="0" xfId="19" applyNumberFormat="1" applyFont="1" applyFill="1" applyBorder="1" applyProtection="1">
      <alignment/>
      <protection hidden="1"/>
    </xf>
    <xf numFmtId="37" fontId="1" fillId="2" borderId="42" xfId="19" applyNumberFormat="1" applyFont="1" applyFill="1" applyBorder="1" applyProtection="1">
      <alignment/>
      <protection hidden="1"/>
    </xf>
    <xf numFmtId="37" fontId="1" fillId="2" borderId="112" xfId="19" applyNumberFormat="1" applyFont="1" applyFill="1" applyBorder="1" applyProtection="1">
      <alignment/>
      <protection hidden="1"/>
    </xf>
    <xf numFmtId="37" fontId="1" fillId="2" borderId="56" xfId="19" applyNumberFormat="1" applyFont="1" applyFill="1" applyBorder="1" applyProtection="1">
      <alignment/>
      <protection hidden="1"/>
    </xf>
    <xf numFmtId="15" fontId="1" fillId="2" borderId="26" xfId="19" applyNumberFormat="1" applyFont="1" applyFill="1" applyBorder="1" applyProtection="1">
      <alignment/>
      <protection hidden="1"/>
    </xf>
    <xf numFmtId="37" fontId="1" fillId="2" borderId="56" xfId="19" applyNumberFormat="1" applyFont="1" applyFill="1" applyBorder="1" applyProtection="1">
      <alignment/>
      <protection hidden="1"/>
    </xf>
    <xf numFmtId="0" fontId="0" fillId="0" borderId="13" xfId="19" applyNumberFormat="1" applyFont="1" applyFill="1" applyBorder="1" applyProtection="1">
      <alignment/>
      <protection hidden="1"/>
    </xf>
    <xf numFmtId="37" fontId="1" fillId="7" borderId="42" xfId="19" applyNumberFormat="1" applyFont="1" applyFill="1" applyBorder="1" applyProtection="1">
      <alignment/>
      <protection hidden="1"/>
    </xf>
    <xf numFmtId="37" fontId="1" fillId="7" borderId="112" xfId="19" applyNumberFormat="1" applyFont="1" applyFill="1" applyBorder="1" applyProtection="1">
      <alignment/>
      <protection hidden="1"/>
    </xf>
    <xf numFmtId="0" fontId="1" fillId="7" borderId="56" xfId="19" applyNumberFormat="1" applyFont="1" applyFill="1" applyBorder="1" applyProtection="1">
      <alignment/>
      <protection hidden="1"/>
    </xf>
    <xf numFmtId="0" fontId="0" fillId="7" borderId="13" xfId="19" applyNumberFormat="1" applyFont="1" applyFill="1" applyBorder="1" applyProtection="1">
      <alignment/>
      <protection hidden="1"/>
    </xf>
    <xf numFmtId="0" fontId="1" fillId="2" borderId="26" xfId="19" applyNumberFormat="1" applyFont="1" applyFill="1" applyBorder="1" applyProtection="1">
      <alignment/>
      <protection hidden="1"/>
    </xf>
    <xf numFmtId="0" fontId="0" fillId="2" borderId="123" xfId="19" applyNumberFormat="1" applyFont="1" applyFill="1" applyBorder="1" applyProtection="1">
      <alignment/>
      <protection hidden="1"/>
    </xf>
    <xf numFmtId="0" fontId="0" fillId="0" borderId="123" xfId="19" applyNumberFormat="1" applyFont="1" applyFill="1" applyBorder="1" applyProtection="1">
      <alignment/>
      <protection hidden="1"/>
    </xf>
    <xf numFmtId="37" fontId="1" fillId="7" borderId="56" xfId="19" applyNumberFormat="1" applyFont="1" applyFill="1" applyBorder="1" applyProtection="1">
      <alignment/>
      <protection hidden="1"/>
    </xf>
    <xf numFmtId="0" fontId="1" fillId="7" borderId="26" xfId="19" applyNumberFormat="1" applyFont="1" applyFill="1" applyBorder="1" applyProtection="1">
      <alignment/>
      <protection hidden="1"/>
    </xf>
    <xf numFmtId="0" fontId="0" fillId="7" borderId="123" xfId="19" applyNumberFormat="1" applyFont="1" applyFill="1" applyBorder="1" applyProtection="1">
      <alignment/>
      <protection hidden="1"/>
    </xf>
    <xf numFmtId="0" fontId="1" fillId="2" borderId="170" xfId="19" applyNumberFormat="1" applyFont="1" applyFill="1" applyBorder="1" applyAlignment="1" applyProtection="1">
      <alignment horizontal="centerContinuous"/>
      <protection hidden="1"/>
    </xf>
    <xf numFmtId="0" fontId="1" fillId="2" borderId="171" xfId="19" applyNumberFormat="1" applyFont="1" applyFill="1" applyBorder="1" applyAlignment="1" applyProtection="1">
      <alignment horizontal="left"/>
      <protection hidden="1"/>
    </xf>
    <xf numFmtId="37" fontId="1" fillId="2" borderId="172" xfId="19" applyNumberFormat="1" applyFont="1" applyFill="1" applyBorder="1" applyAlignment="1" applyProtection="1">
      <alignment horizontal="centerContinuous"/>
      <protection hidden="1"/>
    </xf>
    <xf numFmtId="37" fontId="1" fillId="2" borderId="0" xfId="19" applyNumberFormat="1" applyFont="1" applyFill="1" applyBorder="1" applyAlignment="1" applyProtection="1">
      <alignment horizontal="centerContinuous"/>
      <protection hidden="1"/>
    </xf>
    <xf numFmtId="0" fontId="1" fillId="2" borderId="56" xfId="19" applyNumberFormat="1" applyFont="1" applyFill="1" applyBorder="1" applyAlignment="1" applyProtection="1">
      <alignment horizontal="left"/>
      <protection hidden="1"/>
    </xf>
    <xf numFmtId="0" fontId="1" fillId="2" borderId="56" xfId="19" applyNumberFormat="1" applyFont="1" applyFill="1" applyBorder="1" applyAlignment="1" applyProtection="1">
      <alignment horizontal="left"/>
      <protection hidden="1"/>
    </xf>
    <xf numFmtId="0" fontId="0" fillId="0" borderId="42" xfId="19" applyNumberFormat="1" applyFont="1" applyFill="1" applyBorder="1" applyProtection="1">
      <alignment/>
      <protection hidden="1"/>
    </xf>
    <xf numFmtId="0" fontId="0" fillId="0" borderId="112" xfId="19" applyNumberFormat="1" applyFont="1" applyFill="1" applyBorder="1" applyProtection="1">
      <alignment/>
      <protection hidden="1"/>
    </xf>
    <xf numFmtId="0" fontId="1" fillId="7" borderId="170" xfId="19" applyNumberFormat="1" applyFont="1" applyFill="1" applyBorder="1" applyAlignment="1" applyProtection="1">
      <alignment horizontal="centerContinuous"/>
      <protection hidden="1"/>
    </xf>
    <xf numFmtId="37" fontId="1" fillId="7" borderId="171" xfId="19" applyNumberFormat="1" applyFont="1" applyFill="1" applyBorder="1" applyAlignment="1" applyProtection="1">
      <alignment horizontal="centerContinuous"/>
      <protection hidden="1"/>
    </xf>
    <xf numFmtId="37" fontId="1" fillId="7" borderId="172" xfId="19" applyNumberFormat="1" applyFont="1" applyFill="1" applyBorder="1" applyAlignment="1" applyProtection="1">
      <alignment horizontal="centerContinuous"/>
      <protection hidden="1"/>
    </xf>
    <xf numFmtId="0" fontId="1" fillId="7" borderId="26" xfId="19" applyNumberFormat="1" applyFont="1" applyFill="1" applyBorder="1" applyProtection="1">
      <alignment/>
      <protection hidden="1"/>
    </xf>
    <xf numFmtId="0" fontId="1" fillId="7" borderId="166" xfId="19" applyNumberFormat="1" applyFont="1" applyFill="1" applyBorder="1" applyProtection="1">
      <alignment/>
      <protection hidden="1"/>
    </xf>
    <xf numFmtId="0" fontId="1" fillId="7" borderId="173" xfId="19" applyNumberFormat="1" applyFont="1" applyFill="1" applyBorder="1" applyProtection="1">
      <alignment/>
      <protection hidden="1"/>
    </xf>
    <xf numFmtId="0" fontId="0" fillId="7" borderId="42" xfId="19" applyNumberFormat="1" applyFont="1" applyFill="1" applyBorder="1" applyProtection="1">
      <alignment/>
      <protection hidden="1"/>
    </xf>
    <xf numFmtId="0" fontId="0" fillId="7" borderId="112" xfId="19" applyNumberFormat="1" applyFont="1" applyFill="1" applyBorder="1" applyProtection="1">
      <alignment/>
      <protection hidden="1"/>
    </xf>
    <xf numFmtId="0" fontId="1" fillId="2" borderId="56" xfId="19" applyNumberFormat="1" applyFont="1" applyFill="1" applyBorder="1" applyAlignment="1" applyProtection="1">
      <alignment horizontal="centerContinuous"/>
      <protection hidden="1"/>
    </xf>
    <xf numFmtId="0" fontId="1" fillId="2" borderId="0" xfId="19" applyNumberFormat="1" applyFont="1" applyFill="1" applyBorder="1" applyAlignment="1" applyProtection="1">
      <alignment horizontal="left"/>
      <protection hidden="1"/>
    </xf>
    <xf numFmtId="37" fontId="1" fillId="2" borderId="26" xfId="19" applyNumberFormat="1" applyFont="1" applyFill="1" applyBorder="1" applyAlignment="1" applyProtection="1">
      <alignment horizontal="centerContinuous"/>
      <protection hidden="1"/>
    </xf>
    <xf numFmtId="0" fontId="1" fillId="2" borderId="174" xfId="19" applyNumberFormat="1" applyFont="1" applyFill="1" applyBorder="1" applyAlignment="1" applyProtection="1">
      <alignment horizontal="left"/>
      <protection hidden="1"/>
    </xf>
    <xf numFmtId="0" fontId="1" fillId="2" borderId="175" xfId="19" applyNumberFormat="1" applyFont="1" applyFill="1" applyBorder="1" applyProtection="1">
      <alignment/>
      <protection hidden="1"/>
    </xf>
    <xf numFmtId="0" fontId="1" fillId="0" borderId="175" xfId="19" applyNumberFormat="1" applyFont="1" applyFill="1" applyBorder="1" applyProtection="1">
      <alignment/>
      <protection hidden="1"/>
    </xf>
    <xf numFmtId="0" fontId="1" fillId="7" borderId="56" xfId="19" applyNumberFormat="1" applyFont="1" applyFill="1" applyBorder="1" applyAlignment="1" applyProtection="1">
      <alignment horizontal="centerContinuous"/>
      <protection hidden="1"/>
    </xf>
    <xf numFmtId="37" fontId="1" fillId="7" borderId="0" xfId="19" applyNumberFormat="1" applyFont="1" applyFill="1" applyAlignment="1" applyProtection="1">
      <alignment horizontal="centerContinuous"/>
      <protection hidden="1"/>
    </xf>
    <xf numFmtId="37" fontId="1" fillId="7" borderId="26" xfId="19" applyNumberFormat="1" applyFont="1" applyFill="1" applyBorder="1" applyAlignment="1" applyProtection="1">
      <alignment horizontal="centerContinuous"/>
      <protection hidden="1"/>
    </xf>
    <xf numFmtId="0" fontId="1" fillId="7" borderId="174" xfId="19" applyNumberFormat="1" applyFont="1" applyFill="1" applyBorder="1" applyAlignment="1" applyProtection="1">
      <alignment horizontal="left"/>
      <protection hidden="1"/>
    </xf>
    <xf numFmtId="0" fontId="1" fillId="7" borderId="10" xfId="19" applyNumberFormat="1" applyFont="1" applyFill="1" applyBorder="1" applyProtection="1">
      <alignment/>
      <protection hidden="1"/>
    </xf>
    <xf numFmtId="0" fontId="1" fillId="7" borderId="175" xfId="19" applyNumberFormat="1" applyFont="1" applyFill="1" applyBorder="1" applyProtection="1">
      <alignment/>
      <protection hidden="1"/>
    </xf>
    <xf numFmtId="37" fontId="1" fillId="2" borderId="56" xfId="19" applyNumberFormat="1" applyFont="1" applyFill="1" applyBorder="1" applyAlignment="1" applyProtection="1">
      <alignment horizontal="centerContinuous"/>
      <protection hidden="1"/>
    </xf>
    <xf numFmtId="37" fontId="1" fillId="2" borderId="0" xfId="19" applyNumberFormat="1" applyFont="1" applyFill="1" applyBorder="1" applyAlignment="1" applyProtection="1">
      <alignment horizontal="left"/>
      <protection hidden="1"/>
    </xf>
    <xf numFmtId="0" fontId="1" fillId="2" borderId="10" xfId="19" applyNumberFormat="1" applyFont="1" applyFill="1" applyBorder="1" applyProtection="1">
      <alignment/>
      <protection hidden="1"/>
    </xf>
    <xf numFmtId="0" fontId="0" fillId="2" borderId="13" xfId="19" applyNumberFormat="1" applyFont="1" applyFill="1" applyBorder="1" applyAlignment="1" applyProtection="1">
      <alignment horizontal="right"/>
      <protection hidden="1"/>
    </xf>
    <xf numFmtId="0" fontId="0" fillId="0" borderId="13" xfId="19" applyNumberFormat="1" applyFont="1" applyFill="1" applyBorder="1" applyAlignment="1" applyProtection="1">
      <alignment horizontal="right"/>
      <protection hidden="1"/>
    </xf>
    <xf numFmtId="37" fontId="1" fillId="7" borderId="56" xfId="19" applyNumberFormat="1" applyFont="1" applyFill="1" applyBorder="1" applyAlignment="1" applyProtection="1">
      <alignment horizontal="centerContinuous"/>
      <protection hidden="1"/>
    </xf>
    <xf numFmtId="0" fontId="0" fillId="7" borderId="13" xfId="19" applyNumberFormat="1" applyFont="1" applyFill="1" applyBorder="1" applyAlignment="1" applyProtection="1">
      <alignment horizontal="right"/>
      <protection hidden="1"/>
    </xf>
    <xf numFmtId="0" fontId="1" fillId="2" borderId="166" xfId="19" applyNumberFormat="1" applyFont="1" applyFill="1" applyBorder="1" applyAlignment="1" applyProtection="1">
      <alignment horizontal="centerContinuous"/>
      <protection hidden="1"/>
    </xf>
    <xf numFmtId="37" fontId="1" fillId="2" borderId="165" xfId="19" applyNumberFormat="1" applyFont="1" applyFill="1" applyBorder="1" applyAlignment="1" applyProtection="1">
      <alignment horizontal="centerContinuous"/>
      <protection hidden="1"/>
    </xf>
    <xf numFmtId="37" fontId="1" fillId="2" borderId="173" xfId="19" applyNumberFormat="1" applyFont="1" applyFill="1" applyBorder="1" applyAlignment="1" applyProtection="1">
      <alignment horizontal="centerContinuous"/>
      <protection hidden="1"/>
    </xf>
    <xf numFmtId="0" fontId="1" fillId="7" borderId="166" xfId="19" applyNumberFormat="1" applyFont="1" applyFill="1" applyBorder="1" applyAlignment="1" applyProtection="1">
      <alignment horizontal="centerContinuous"/>
      <protection hidden="1"/>
    </xf>
    <xf numFmtId="37" fontId="1" fillId="7" borderId="165" xfId="19" applyNumberFormat="1" applyFont="1" applyFill="1" applyBorder="1" applyAlignment="1" applyProtection="1">
      <alignment horizontal="centerContinuous"/>
      <protection hidden="1"/>
    </xf>
    <xf numFmtId="37" fontId="1" fillId="7" borderId="173" xfId="19" applyNumberFormat="1" applyFont="1" applyFill="1" applyBorder="1" applyAlignment="1" applyProtection="1">
      <alignment horizontal="centerContinuous"/>
      <protection hidden="1"/>
    </xf>
    <xf numFmtId="0" fontId="1" fillId="7" borderId="10" xfId="19" applyNumberFormat="1" applyFont="1" applyFill="1" applyBorder="1" applyProtection="1">
      <alignment/>
      <protection hidden="1"/>
    </xf>
    <xf numFmtId="0" fontId="0" fillId="11" borderId="13" xfId="19" applyNumberFormat="1" applyFont="1" applyFill="1" applyBorder="1" applyAlignment="1" applyProtection="1">
      <alignment horizontal="right"/>
      <protection hidden="1"/>
    </xf>
    <xf numFmtId="37" fontId="1" fillId="7" borderId="56" xfId="19" applyNumberFormat="1" applyFont="1" applyFill="1" applyBorder="1" applyProtection="1">
      <alignment/>
      <protection hidden="1"/>
    </xf>
    <xf numFmtId="37" fontId="1" fillId="7" borderId="26" xfId="19" applyNumberFormat="1" applyFont="1" applyFill="1" applyBorder="1" applyProtection="1">
      <alignment/>
      <protection hidden="1"/>
    </xf>
    <xf numFmtId="0" fontId="0" fillId="12" borderId="13" xfId="19" applyNumberFormat="1" applyFont="1" applyFill="1" applyBorder="1" applyAlignment="1" applyProtection="1">
      <alignment horizontal="right"/>
      <protection hidden="1"/>
    </xf>
    <xf numFmtId="37" fontId="0" fillId="2" borderId="13" xfId="19" applyNumberFormat="1" applyFont="1" applyFill="1" applyBorder="1" applyAlignment="1" applyProtection="1">
      <alignment horizontal="right"/>
      <protection hidden="1"/>
    </xf>
    <xf numFmtId="37" fontId="0" fillId="0" borderId="13" xfId="19" applyNumberFormat="1" applyFont="1" applyFill="1" applyBorder="1" applyAlignment="1" applyProtection="1">
      <alignment horizontal="right"/>
      <protection hidden="1"/>
    </xf>
    <xf numFmtId="0" fontId="1" fillId="7" borderId="56" xfId="19" applyNumberFormat="1" applyFont="1" applyFill="1" applyBorder="1" applyAlignment="1" applyProtection="1">
      <alignment horizontal="left"/>
      <protection hidden="1"/>
    </xf>
    <xf numFmtId="37" fontId="1" fillId="7" borderId="26" xfId="19" applyNumberFormat="1" applyFont="1" applyFill="1" applyBorder="1" applyAlignment="1" applyProtection="1">
      <alignment horizontal="center"/>
      <protection hidden="1"/>
    </xf>
    <xf numFmtId="0" fontId="1" fillId="7" borderId="0" xfId="19" applyNumberFormat="1" applyFont="1" applyFill="1" applyProtection="1">
      <alignment/>
      <protection hidden="1"/>
    </xf>
    <xf numFmtId="37" fontId="1" fillId="7" borderId="26" xfId="19" applyNumberFormat="1" applyFont="1" applyFill="1" applyBorder="1" applyProtection="1">
      <alignment/>
      <protection hidden="1"/>
    </xf>
    <xf numFmtId="37" fontId="0" fillId="7" borderId="13" xfId="19" applyNumberFormat="1" applyFont="1" applyFill="1" applyBorder="1" applyAlignment="1" applyProtection="1">
      <alignment horizontal="right"/>
      <protection hidden="1"/>
    </xf>
    <xf numFmtId="37" fontId="30" fillId="2" borderId="56" xfId="19" applyNumberFormat="1" applyFont="1" applyFill="1" applyBorder="1" applyProtection="1">
      <alignment/>
      <protection hidden="1"/>
    </xf>
    <xf numFmtId="0" fontId="0" fillId="2" borderId="26" xfId="19" applyNumberFormat="1" applyFont="1" applyFill="1" applyBorder="1" applyProtection="1">
      <alignment/>
      <protection hidden="1"/>
    </xf>
    <xf numFmtId="0" fontId="1" fillId="0" borderId="10" xfId="19" applyNumberFormat="1" applyFont="1" applyFill="1" applyBorder="1" applyProtection="1">
      <alignment/>
      <protection hidden="1"/>
    </xf>
    <xf numFmtId="37" fontId="1" fillId="0" borderId="26" xfId="19" applyNumberFormat="1" applyFont="1" applyFill="1" applyBorder="1" applyProtection="1">
      <alignment/>
      <protection hidden="1"/>
    </xf>
    <xf numFmtId="0" fontId="0" fillId="2" borderId="13" xfId="19" applyNumberFormat="1" applyFont="1" applyFill="1" applyBorder="1" applyAlignment="1" applyProtection="1">
      <alignment horizontal="right"/>
      <protection hidden="1"/>
    </xf>
    <xf numFmtId="37" fontId="30" fillId="7" borderId="56" xfId="19" applyNumberFormat="1" applyFont="1" applyFill="1" applyBorder="1" applyProtection="1">
      <alignment/>
      <protection hidden="1"/>
    </xf>
    <xf numFmtId="0" fontId="0" fillId="7" borderId="26" xfId="19" applyNumberFormat="1" applyFont="1" applyFill="1" applyBorder="1" applyProtection="1">
      <alignment/>
      <protection hidden="1"/>
    </xf>
    <xf numFmtId="0" fontId="1" fillId="7" borderId="176" xfId="19" applyNumberFormat="1" applyFont="1" applyFill="1" applyBorder="1" applyProtection="1">
      <alignment/>
      <protection hidden="1"/>
    </xf>
    <xf numFmtId="37" fontId="1" fillId="7" borderId="120" xfId="19" applyNumberFormat="1" applyFont="1" applyFill="1" applyBorder="1" applyProtection="1">
      <alignment/>
      <protection hidden="1"/>
    </xf>
    <xf numFmtId="0" fontId="0" fillId="7" borderId="13" xfId="19" applyNumberFormat="1" applyFont="1" applyFill="1" applyBorder="1" applyAlignment="1" applyProtection="1">
      <alignment horizontal="right"/>
      <protection hidden="1"/>
    </xf>
    <xf numFmtId="0" fontId="1" fillId="2" borderId="56" xfId="19" applyNumberFormat="1" applyFont="1" applyFill="1" applyBorder="1" applyAlignment="1" applyProtection="1">
      <alignment horizontal="right"/>
      <protection hidden="1"/>
    </xf>
    <xf numFmtId="0" fontId="1" fillId="0" borderId="177" xfId="19" applyNumberFormat="1" applyFont="1" applyFill="1" applyBorder="1" applyProtection="1">
      <alignment/>
      <protection hidden="1"/>
    </xf>
    <xf numFmtId="37" fontId="1" fillId="0" borderId="119" xfId="19" applyNumberFormat="1" applyFont="1" applyFill="1" applyBorder="1" applyProtection="1">
      <alignment/>
      <protection hidden="1"/>
    </xf>
    <xf numFmtId="0" fontId="1" fillId="7" borderId="56" xfId="19" applyNumberFormat="1" applyFont="1" applyFill="1" applyBorder="1" applyAlignment="1" applyProtection="1">
      <alignment horizontal="right"/>
      <protection hidden="1"/>
    </xf>
    <xf numFmtId="37" fontId="1" fillId="7" borderId="0" xfId="19" applyNumberFormat="1" applyFont="1" applyFill="1" applyProtection="1">
      <alignment/>
      <protection hidden="1"/>
    </xf>
    <xf numFmtId="0" fontId="1" fillId="7" borderId="177" xfId="19" applyNumberFormat="1" applyFont="1" applyFill="1" applyBorder="1" applyProtection="1">
      <alignment/>
      <protection hidden="1"/>
    </xf>
    <xf numFmtId="37" fontId="1" fillId="7" borderId="119" xfId="19" applyNumberFormat="1" applyFont="1" applyFill="1" applyBorder="1" applyProtection="1">
      <alignment/>
      <protection hidden="1"/>
    </xf>
    <xf numFmtId="37" fontId="1" fillId="2" borderId="166" xfId="19" applyNumberFormat="1" applyFont="1" applyFill="1" applyBorder="1" applyProtection="1">
      <alignment/>
      <protection hidden="1"/>
    </xf>
    <xf numFmtId="0" fontId="0" fillId="2" borderId="165" xfId="19" applyNumberFormat="1" applyFont="1" applyFill="1" applyBorder="1" applyProtection="1">
      <alignment/>
      <protection hidden="1"/>
    </xf>
    <xf numFmtId="37" fontId="1" fillId="2" borderId="173" xfId="19" applyNumberFormat="1" applyFont="1" applyFill="1" applyBorder="1" applyProtection="1">
      <alignment/>
      <protection hidden="1"/>
    </xf>
    <xf numFmtId="37" fontId="1" fillId="7" borderId="166" xfId="19" applyNumberFormat="1" applyFont="1" applyFill="1" applyBorder="1" applyProtection="1">
      <alignment/>
      <protection hidden="1"/>
    </xf>
    <xf numFmtId="0" fontId="0" fillId="7" borderId="165" xfId="19" applyNumberFormat="1" applyFont="1" applyFill="1" applyBorder="1" applyProtection="1">
      <alignment/>
      <protection hidden="1"/>
    </xf>
    <xf numFmtId="37" fontId="1" fillId="7" borderId="173" xfId="19" applyNumberFormat="1" applyFont="1" applyFill="1" applyBorder="1" applyProtection="1">
      <alignment/>
      <protection hidden="1"/>
    </xf>
    <xf numFmtId="0" fontId="0" fillId="2" borderId="56" xfId="19" applyNumberFormat="1" applyFont="1" applyFill="1" applyBorder="1" applyProtection="1">
      <alignment/>
      <protection hidden="1"/>
    </xf>
    <xf numFmtId="0" fontId="0" fillId="2" borderId="10" xfId="19" applyNumberFormat="1" applyFont="1" applyFill="1" applyBorder="1" applyProtection="1">
      <alignment/>
      <protection hidden="1"/>
    </xf>
    <xf numFmtId="0" fontId="0" fillId="7" borderId="56" xfId="19" applyNumberFormat="1" applyFont="1" applyFill="1" applyBorder="1" applyProtection="1">
      <alignment/>
      <protection hidden="1"/>
    </xf>
    <xf numFmtId="0" fontId="0" fillId="7" borderId="10" xfId="19" applyNumberFormat="1" applyFont="1" applyFill="1" applyBorder="1" applyProtection="1">
      <alignment/>
      <protection hidden="1"/>
    </xf>
    <xf numFmtId="37" fontId="1" fillId="2" borderId="56" xfId="19" applyNumberFormat="1" applyFont="1" applyFill="1" applyBorder="1" applyAlignment="1" applyProtection="1">
      <alignment horizontal="right"/>
      <protection hidden="1"/>
    </xf>
    <xf numFmtId="0" fontId="0" fillId="0" borderId="103" xfId="19" applyNumberFormat="1" applyFont="1" applyFill="1" applyBorder="1" applyProtection="1">
      <alignment/>
      <protection hidden="1"/>
    </xf>
    <xf numFmtId="37" fontId="1" fillId="7" borderId="56" xfId="19" applyNumberFormat="1" applyFont="1" applyFill="1" applyBorder="1" applyAlignment="1" applyProtection="1">
      <alignment horizontal="right"/>
      <protection hidden="1"/>
    </xf>
    <xf numFmtId="0" fontId="0" fillId="7" borderId="103" xfId="19" applyNumberFormat="1" applyFont="1" applyFill="1" applyBorder="1" applyProtection="1">
      <alignment/>
      <protection hidden="1"/>
    </xf>
    <xf numFmtId="172" fontId="1" fillId="2" borderId="0" xfId="19" applyNumberFormat="1" applyFont="1" applyFill="1" applyProtection="1">
      <alignment/>
      <protection hidden="1"/>
    </xf>
    <xf numFmtId="172" fontId="1" fillId="7" borderId="0" xfId="19" applyNumberFormat="1" applyFont="1" applyFill="1" applyProtection="1">
      <alignment/>
      <protection hidden="1"/>
    </xf>
    <xf numFmtId="0" fontId="13" fillId="7" borderId="0" xfId="19" applyNumberFormat="1" applyFont="1" applyFill="1" applyBorder="1" applyAlignment="1" applyProtection="1">
      <alignment horizontal="right"/>
      <protection hidden="1"/>
    </xf>
    <xf numFmtId="0" fontId="1" fillId="0" borderId="176" xfId="19" applyNumberFormat="1" applyFont="1" applyFill="1" applyBorder="1" applyProtection="1">
      <alignment/>
      <protection hidden="1"/>
    </xf>
    <xf numFmtId="37" fontId="1" fillId="0" borderId="120" xfId="19" applyNumberFormat="1" applyFont="1" applyFill="1" applyBorder="1" applyProtection="1">
      <alignment/>
      <protection hidden="1"/>
    </xf>
    <xf numFmtId="0" fontId="1" fillId="7" borderId="0" xfId="19" applyNumberFormat="1" applyFont="1" applyFill="1" applyBorder="1" applyProtection="1">
      <alignment/>
      <protection hidden="1"/>
    </xf>
    <xf numFmtId="37" fontId="1" fillId="7" borderId="0" xfId="19" applyNumberFormat="1" applyFont="1" applyFill="1" applyBorder="1" applyProtection="1">
      <alignment/>
      <protection hidden="1"/>
    </xf>
    <xf numFmtId="0" fontId="0" fillId="7" borderId="58" xfId="19" applyNumberFormat="1" applyFont="1" applyFill="1" applyBorder="1" applyAlignment="1" applyProtection="1">
      <alignment horizontal="right"/>
      <protection hidden="1"/>
    </xf>
    <xf numFmtId="0" fontId="0" fillId="2" borderId="42" xfId="19" applyNumberFormat="1" applyFont="1" applyFill="1" applyBorder="1" applyAlignment="1" applyProtection="1">
      <alignment horizontal="right"/>
      <protection hidden="1"/>
    </xf>
    <xf numFmtId="0" fontId="0" fillId="7" borderId="58" xfId="19" applyNumberFormat="1" applyFont="1" applyFill="1" applyBorder="1" applyProtection="1">
      <alignment/>
      <protection hidden="1"/>
    </xf>
    <xf numFmtId="0" fontId="0" fillId="2" borderId="0" xfId="19" applyNumberFormat="1" applyFont="1" applyProtection="1">
      <alignment/>
      <protection hidden="1"/>
    </xf>
    <xf numFmtId="0" fontId="1" fillId="2" borderId="170" xfId="19" applyNumberFormat="1" applyFont="1" applyFill="1" applyBorder="1" applyAlignment="1" applyProtection="1">
      <alignment horizontal="left"/>
      <protection hidden="1"/>
    </xf>
    <xf numFmtId="0" fontId="0" fillId="2" borderId="172" xfId="19" applyNumberFormat="1" applyFont="1" applyFill="1" applyBorder="1" applyAlignment="1" applyProtection="1">
      <alignment horizontal="right"/>
      <protection hidden="1"/>
    </xf>
    <xf numFmtId="0" fontId="0" fillId="2" borderId="0" xfId="19" applyNumberFormat="1" applyFont="1" applyFill="1" applyBorder="1" applyAlignment="1" applyProtection="1">
      <alignment horizontal="right"/>
      <protection hidden="1"/>
    </xf>
    <xf numFmtId="0" fontId="0" fillId="7" borderId="103" xfId="19" applyNumberFormat="1" applyFont="1" applyFill="1" applyBorder="1" applyProtection="1">
      <alignment/>
      <protection hidden="1"/>
    </xf>
    <xf numFmtId="0" fontId="0" fillId="7" borderId="0" xfId="19" applyNumberFormat="1" applyFont="1" applyFill="1" applyBorder="1" applyAlignment="1" applyProtection="1">
      <alignment horizontal="right"/>
      <protection hidden="1"/>
    </xf>
    <xf numFmtId="37" fontId="0" fillId="2" borderId="123" xfId="19" applyNumberFormat="1" applyFont="1" applyFill="1" applyBorder="1" applyProtection="1">
      <alignment/>
      <protection hidden="1"/>
    </xf>
    <xf numFmtId="0" fontId="0" fillId="2" borderId="26" xfId="19" applyNumberFormat="1" applyFont="1" applyFill="1" applyBorder="1" applyAlignment="1" applyProtection="1">
      <alignment horizontal="right"/>
      <protection hidden="1"/>
    </xf>
    <xf numFmtId="37" fontId="0" fillId="7" borderId="123" xfId="19" applyNumberFormat="1" applyFont="1" applyFill="1" applyBorder="1" applyProtection="1">
      <alignment/>
      <protection hidden="1"/>
    </xf>
    <xf numFmtId="37" fontId="0" fillId="2" borderId="58" xfId="19" applyNumberFormat="1" applyFont="1" applyFill="1" applyBorder="1" applyProtection="1">
      <alignment/>
      <protection hidden="1"/>
    </xf>
    <xf numFmtId="37" fontId="0" fillId="7" borderId="58" xfId="19" applyNumberFormat="1" applyFont="1" applyFill="1" applyBorder="1" applyProtection="1">
      <alignment/>
      <protection hidden="1"/>
    </xf>
    <xf numFmtId="0" fontId="1" fillId="7" borderId="170" xfId="19" applyNumberFormat="1" applyFont="1" applyFill="1" applyBorder="1" applyAlignment="1" applyProtection="1">
      <alignment horizontal="left"/>
      <protection hidden="1"/>
    </xf>
    <xf numFmtId="0" fontId="0" fillId="7" borderId="171" xfId="19" applyNumberFormat="1" applyFont="1" applyFill="1" applyBorder="1" applyAlignment="1" applyProtection="1">
      <alignment horizontal="right"/>
      <protection hidden="1"/>
    </xf>
    <xf numFmtId="37" fontId="1" fillId="7" borderId="171" xfId="19" applyNumberFormat="1" applyFont="1" applyFill="1" applyBorder="1" applyProtection="1">
      <alignment/>
      <protection hidden="1"/>
    </xf>
    <xf numFmtId="0" fontId="0" fillId="7" borderId="172" xfId="19" applyNumberFormat="1" applyFont="1" applyFill="1" applyBorder="1" applyAlignment="1" applyProtection="1">
      <alignment horizontal="right"/>
      <protection hidden="1"/>
    </xf>
    <xf numFmtId="37" fontId="1" fillId="2" borderId="165" xfId="19" applyNumberFormat="1" applyFont="1" applyFill="1" applyBorder="1" applyProtection="1">
      <alignment/>
      <protection hidden="1"/>
    </xf>
    <xf numFmtId="37" fontId="1" fillId="2" borderId="178" xfId="19" applyNumberFormat="1" applyFont="1" applyFill="1" applyBorder="1" applyProtection="1">
      <alignment/>
      <protection hidden="1"/>
    </xf>
    <xf numFmtId="37" fontId="1" fillId="2" borderId="103" xfId="19" applyNumberFormat="1" applyFont="1" applyFill="1" applyBorder="1" applyProtection="1">
      <alignment/>
      <protection hidden="1"/>
    </xf>
    <xf numFmtId="0" fontId="1" fillId="2" borderId="178" xfId="19" applyNumberFormat="1" applyFont="1" applyFill="1" applyBorder="1" applyProtection="1">
      <alignment/>
      <protection hidden="1"/>
    </xf>
    <xf numFmtId="0" fontId="14" fillId="2" borderId="173" xfId="19" applyNumberFormat="1" applyFont="1" applyFill="1" applyBorder="1" applyProtection="1">
      <alignment/>
      <protection hidden="1"/>
    </xf>
    <xf numFmtId="37" fontId="1" fillId="7" borderId="166" xfId="19" applyNumberFormat="1" applyFont="1" applyFill="1" applyBorder="1" applyProtection="1">
      <alignment/>
      <protection hidden="1"/>
    </xf>
    <xf numFmtId="37" fontId="1" fillId="7" borderId="165" xfId="19" applyNumberFormat="1" applyFont="1" applyFill="1" applyBorder="1" applyProtection="1">
      <alignment/>
      <protection hidden="1"/>
    </xf>
    <xf numFmtId="37" fontId="1" fillId="7" borderId="178" xfId="19" applyNumberFormat="1" applyFont="1" applyFill="1" applyBorder="1" applyProtection="1">
      <alignment/>
      <protection hidden="1"/>
    </xf>
    <xf numFmtId="37" fontId="1" fillId="7" borderId="103" xfId="19" applyNumberFormat="1" applyFont="1" applyFill="1" applyBorder="1" applyProtection="1">
      <alignment/>
      <protection hidden="1"/>
    </xf>
    <xf numFmtId="0" fontId="1" fillId="7" borderId="56" xfId="19" applyNumberFormat="1" applyFont="1" applyFill="1" applyBorder="1" applyAlignment="1" applyProtection="1">
      <alignment horizontal="left"/>
      <protection hidden="1"/>
    </xf>
    <xf numFmtId="0" fontId="1" fillId="7" borderId="0" xfId="19" applyNumberFormat="1" applyFont="1" applyFill="1" applyBorder="1" applyAlignment="1" applyProtection="1">
      <alignment horizontal="left"/>
      <protection hidden="1"/>
    </xf>
    <xf numFmtId="15" fontId="1" fillId="7" borderId="123" xfId="19" applyNumberFormat="1" applyFont="1" applyFill="1" applyBorder="1" applyAlignment="1" applyProtection="1">
      <alignment horizontal="center"/>
      <protection hidden="1"/>
    </xf>
    <xf numFmtId="15" fontId="1" fillId="7" borderId="0" xfId="19" applyNumberFormat="1" applyFont="1" applyFill="1" applyBorder="1" applyAlignment="1" applyProtection="1">
      <alignment horizontal="center"/>
      <protection hidden="1"/>
    </xf>
    <xf numFmtId="0" fontId="1" fillId="10" borderId="0" xfId="19" applyNumberFormat="1" applyFont="1" applyFill="1" applyProtection="1">
      <alignment/>
      <protection hidden="1"/>
    </xf>
    <xf numFmtId="37" fontId="1" fillId="7" borderId="0" xfId="19" applyNumberFormat="1" applyFont="1" applyFill="1" applyBorder="1" applyProtection="1">
      <alignment/>
      <protection hidden="1"/>
    </xf>
    <xf numFmtId="0" fontId="13" fillId="7" borderId="0" xfId="19" applyNumberFormat="1" applyFont="1" applyFill="1" applyBorder="1" applyAlignment="1" applyProtection="1">
      <alignment horizontal="right"/>
      <protection hidden="1"/>
    </xf>
    <xf numFmtId="37" fontId="1" fillId="2" borderId="166" xfId="19" applyNumberFormat="1" applyFont="1" applyFill="1" applyBorder="1" applyProtection="1">
      <alignment/>
      <protection hidden="1"/>
    </xf>
    <xf numFmtId="37" fontId="1" fillId="2" borderId="173" xfId="19" applyNumberFormat="1" applyFont="1" applyFill="1" applyBorder="1" applyProtection="1">
      <alignment/>
      <protection hidden="1"/>
    </xf>
    <xf numFmtId="37" fontId="1" fillId="2" borderId="0" xfId="19" applyNumberFormat="1" applyFont="1" applyFill="1" applyBorder="1" applyProtection="1">
      <alignment/>
      <protection hidden="1"/>
    </xf>
    <xf numFmtId="0" fontId="0" fillId="7" borderId="113" xfId="19" applyNumberFormat="1" applyFont="1" applyFill="1" applyBorder="1" applyProtection="1">
      <alignment/>
      <protection hidden="1"/>
    </xf>
    <xf numFmtId="37" fontId="1" fillId="7" borderId="173" xfId="19" applyNumberFormat="1" applyFont="1" applyFill="1" applyBorder="1" applyProtection="1">
      <alignment/>
      <protection hidden="1"/>
    </xf>
    <xf numFmtId="0" fontId="0" fillId="0" borderId="0" xfId="17" applyNumberFormat="1" applyFont="1" applyFill="1" applyAlignment="1" applyProtection="1">
      <alignment horizontal="left" vertical="center"/>
      <protection hidden="1"/>
    </xf>
    <xf numFmtId="0" fontId="4" fillId="0" borderId="0" xfId="17" applyNumberFormat="1" applyFont="1" applyFill="1" applyAlignment="1" applyProtection="1">
      <alignment horizontal="left" vertical="center"/>
      <protection hidden="1"/>
    </xf>
    <xf numFmtId="10" fontId="12" fillId="2" borderId="0" xfId="19" applyNumberFormat="1" applyFont="1" applyFill="1" applyAlignment="1" applyProtection="1">
      <alignment horizontal="left"/>
      <protection hidden="1"/>
    </xf>
    <xf numFmtId="0" fontId="30" fillId="2" borderId="0" xfId="19" applyNumberFormat="1" applyFont="1" applyFill="1" applyProtection="1">
      <alignment/>
      <protection hidden="1"/>
    </xf>
    <xf numFmtId="0" fontId="30" fillId="2" borderId="0" xfId="19" applyNumberFormat="1" applyFont="1" applyFill="1" applyProtection="1">
      <alignment/>
      <protection hidden="1"/>
    </xf>
    <xf numFmtId="0" fontId="1" fillId="2" borderId="179" xfId="19" applyNumberFormat="1" applyFont="1" applyFill="1" applyBorder="1" applyProtection="1">
      <alignment/>
      <protection hidden="1"/>
    </xf>
    <xf numFmtId="37" fontId="1" fillId="2" borderId="180" xfId="19" applyNumberFormat="1" applyFont="1" applyFill="1" applyBorder="1" applyProtection="1">
      <alignment/>
      <protection hidden="1"/>
    </xf>
    <xf numFmtId="0" fontId="1" fillId="2" borderId="157" xfId="19" applyNumberFormat="1" applyFont="1" applyFill="1" applyBorder="1" applyProtection="1">
      <alignment/>
      <protection hidden="1"/>
    </xf>
    <xf numFmtId="0" fontId="1" fillId="7" borderId="179" xfId="19" applyNumberFormat="1" applyFont="1" applyFill="1" applyBorder="1" applyProtection="1">
      <alignment/>
      <protection hidden="1"/>
    </xf>
    <xf numFmtId="37" fontId="1" fillId="7" borderId="180" xfId="19" applyNumberFormat="1" applyFont="1" applyFill="1" applyBorder="1" applyProtection="1">
      <alignment/>
      <protection hidden="1"/>
    </xf>
    <xf numFmtId="0" fontId="1" fillId="7" borderId="157" xfId="19" applyNumberFormat="1" applyFont="1" applyFill="1" applyBorder="1" applyProtection="1">
      <alignment/>
      <protection hidden="1"/>
    </xf>
    <xf numFmtId="0" fontId="1" fillId="7" borderId="0" xfId="19" applyNumberFormat="1" applyFont="1" applyFill="1" applyBorder="1" applyProtection="1">
      <alignment/>
      <protection hidden="1"/>
    </xf>
    <xf numFmtId="0" fontId="1" fillId="2" borderId="180" xfId="19" applyNumberFormat="1" applyFont="1" applyFill="1" applyBorder="1" applyProtection="1">
      <alignment/>
      <protection hidden="1"/>
    </xf>
    <xf numFmtId="0" fontId="1" fillId="2" borderId="180" xfId="19" applyNumberFormat="1" applyFont="1" applyFill="1" applyBorder="1" applyAlignment="1" applyProtection="1">
      <alignment horizontal="right"/>
      <protection hidden="1"/>
    </xf>
    <xf numFmtId="0" fontId="0" fillId="2" borderId="180" xfId="19" applyNumberFormat="1" applyFont="1" applyFill="1" applyBorder="1" applyAlignment="1" applyProtection="1">
      <alignment horizontal="right"/>
      <protection hidden="1"/>
    </xf>
    <xf numFmtId="0" fontId="1" fillId="7" borderId="180" xfId="19" applyNumberFormat="1" applyFont="1" applyFill="1" applyBorder="1" applyProtection="1">
      <alignment/>
      <protection hidden="1"/>
    </xf>
    <xf numFmtId="0" fontId="1" fillId="7" borderId="180" xfId="19" applyNumberFormat="1" applyFont="1" applyFill="1" applyBorder="1" applyAlignment="1" applyProtection="1">
      <alignment horizontal="right"/>
      <protection hidden="1"/>
    </xf>
    <xf numFmtId="0" fontId="0" fillId="7" borderId="180" xfId="19" applyNumberFormat="1" applyFont="1" applyFill="1" applyBorder="1" applyAlignment="1" applyProtection="1">
      <alignment horizontal="right"/>
      <protection hidden="1"/>
    </xf>
    <xf numFmtId="0" fontId="1" fillId="2" borderId="56" xfId="19" applyNumberFormat="1" applyFont="1" applyFill="1" applyBorder="1" applyProtection="1">
      <alignment/>
      <protection hidden="1"/>
    </xf>
    <xf numFmtId="0" fontId="1" fillId="2" borderId="181" xfId="19" applyNumberFormat="1" applyFont="1" applyFill="1" applyBorder="1" applyProtection="1">
      <alignment/>
      <protection hidden="1"/>
    </xf>
    <xf numFmtId="0" fontId="1" fillId="2" borderId="0" xfId="19" applyNumberFormat="1" applyFont="1" applyFill="1" applyAlignment="1" applyProtection="1">
      <alignment horizontal="right"/>
      <protection hidden="1"/>
    </xf>
    <xf numFmtId="0" fontId="1" fillId="2" borderId="129" xfId="19" applyNumberFormat="1" applyFont="1" applyFill="1" applyBorder="1" applyProtection="1">
      <alignment/>
      <protection hidden="1"/>
    </xf>
    <xf numFmtId="0" fontId="31" fillId="2" borderId="0" xfId="19" applyNumberFormat="1" applyFont="1" applyFill="1" applyProtection="1">
      <alignment/>
      <protection hidden="1"/>
    </xf>
    <xf numFmtId="0" fontId="1" fillId="7" borderId="56" xfId="19" applyNumberFormat="1" applyFont="1" applyFill="1" applyBorder="1" applyProtection="1">
      <alignment/>
      <protection hidden="1"/>
    </xf>
    <xf numFmtId="0" fontId="1" fillId="7" borderId="181" xfId="19" applyNumberFormat="1" applyFont="1" applyFill="1" applyBorder="1" applyProtection="1">
      <alignment/>
      <protection hidden="1"/>
    </xf>
    <xf numFmtId="0" fontId="0" fillId="7" borderId="0" xfId="19" applyNumberFormat="1" applyFont="1" applyFill="1" applyBorder="1" applyProtection="1">
      <alignment/>
      <protection hidden="1"/>
    </xf>
    <xf numFmtId="0" fontId="32" fillId="2" borderId="0" xfId="19" applyNumberFormat="1" applyFont="1" applyFill="1" applyProtection="1">
      <alignment/>
      <protection hidden="1"/>
    </xf>
    <xf numFmtId="0" fontId="0" fillId="2" borderId="0" xfId="19" applyNumberFormat="1" applyFont="1" applyFill="1" applyAlignment="1" applyProtection="1">
      <alignment horizontal="centerContinuous"/>
      <protection hidden="1"/>
    </xf>
    <xf numFmtId="10" fontId="14" fillId="2" borderId="0" xfId="19" applyNumberFormat="1" applyFont="1" applyFill="1" applyProtection="1">
      <alignment/>
      <protection hidden="1"/>
    </xf>
    <xf numFmtId="0" fontId="0" fillId="2" borderId="170" xfId="19" applyNumberFormat="1" applyFont="1" applyFill="1" applyBorder="1" applyProtection="1">
      <alignment/>
      <protection hidden="1"/>
    </xf>
    <xf numFmtId="0" fontId="1" fillId="2" borderId="172" xfId="19" applyNumberFormat="1" applyFont="1" applyFill="1" applyBorder="1" applyProtection="1">
      <alignment/>
      <protection hidden="1"/>
    </xf>
    <xf numFmtId="0" fontId="1" fillId="2" borderId="0" xfId="19" applyNumberFormat="1" applyFont="1" applyFill="1" applyBorder="1" applyProtection="1">
      <alignment/>
      <protection hidden="1"/>
    </xf>
    <xf numFmtId="0" fontId="0" fillId="7" borderId="170" xfId="19" applyNumberFormat="1" applyFont="1" applyFill="1" applyBorder="1" applyProtection="1">
      <alignment/>
      <protection hidden="1"/>
    </xf>
    <xf numFmtId="0" fontId="1" fillId="7" borderId="172" xfId="19" applyNumberFormat="1" applyFont="1" applyFill="1" applyBorder="1" applyProtection="1">
      <alignment/>
      <protection hidden="1"/>
    </xf>
    <xf numFmtId="0" fontId="0" fillId="2" borderId="56" xfId="19" applyNumberFormat="1" applyFont="1" applyFill="1" applyBorder="1" applyAlignment="1" applyProtection="1">
      <alignment horizontal="left"/>
      <protection hidden="1"/>
    </xf>
    <xf numFmtId="0" fontId="0" fillId="7" borderId="56" xfId="19" applyNumberFormat="1" applyFont="1" applyFill="1" applyBorder="1" applyAlignment="1" applyProtection="1">
      <alignment horizontal="left"/>
      <protection hidden="1"/>
    </xf>
    <xf numFmtId="0" fontId="0" fillId="2" borderId="0" xfId="19" applyNumberFormat="1" applyFont="1" applyFill="1" applyBorder="1" applyProtection="1">
      <alignment/>
      <protection hidden="1"/>
    </xf>
    <xf numFmtId="0" fontId="0" fillId="7" borderId="26" xfId="19" applyNumberFormat="1" applyFont="1" applyFill="1" applyBorder="1" applyProtection="1">
      <alignment/>
      <protection hidden="1"/>
    </xf>
    <xf numFmtId="0" fontId="0" fillId="7" borderId="56" xfId="19" applyNumberFormat="1" applyFont="1" applyFill="1" applyBorder="1" applyProtection="1">
      <alignment/>
      <protection hidden="1"/>
    </xf>
    <xf numFmtId="37" fontId="33" fillId="8" borderId="118" xfId="19" applyNumberFormat="1" applyFont="1" applyFill="1" applyBorder="1" applyAlignment="1" applyProtection="1">
      <alignment horizontal="center"/>
      <protection hidden="1"/>
    </xf>
    <xf numFmtId="0" fontId="0" fillId="2" borderId="166" xfId="19" applyNumberFormat="1" applyFont="1" applyFill="1" applyBorder="1" applyProtection="1">
      <alignment/>
      <protection hidden="1"/>
    </xf>
    <xf numFmtId="0" fontId="1" fillId="2" borderId="173" xfId="19" applyNumberFormat="1" applyFont="1" applyFill="1" applyBorder="1" applyProtection="1">
      <alignment/>
      <protection hidden="1"/>
    </xf>
    <xf numFmtId="0" fontId="0" fillId="7" borderId="166" xfId="19" applyNumberFormat="1" applyFont="1" applyFill="1" applyBorder="1" applyProtection="1">
      <alignment/>
      <protection hidden="1"/>
    </xf>
    <xf numFmtId="0" fontId="0" fillId="7" borderId="0" xfId="19" applyNumberFormat="1" applyFont="1" applyFill="1" applyAlignment="1" applyProtection="1">
      <alignment horizontal="centerContinuous"/>
      <protection hidden="1"/>
    </xf>
    <xf numFmtId="0" fontId="1" fillId="2" borderId="170" xfId="19" applyNumberFormat="1" applyFont="1" applyFill="1" applyBorder="1" applyProtection="1">
      <alignment/>
      <protection hidden="1"/>
    </xf>
    <xf numFmtId="0" fontId="1" fillId="7" borderId="170" xfId="19" applyNumberFormat="1" applyFont="1" applyFill="1" applyBorder="1" applyAlignment="1" applyProtection="1">
      <alignment horizontal="left"/>
      <protection hidden="1"/>
    </xf>
    <xf numFmtId="0" fontId="0" fillId="2" borderId="26" xfId="19" applyNumberFormat="1" applyFont="1" applyFill="1" applyBorder="1" applyAlignment="1" applyProtection="1">
      <alignment horizontal="right"/>
      <protection hidden="1"/>
    </xf>
    <xf numFmtId="0" fontId="13" fillId="7" borderId="0" xfId="19" applyNumberFormat="1" applyFont="1" applyFill="1" applyAlignment="1" applyProtection="1">
      <alignment horizontal="right"/>
      <protection hidden="1"/>
    </xf>
    <xf numFmtId="0" fontId="1" fillId="7" borderId="170" xfId="19" applyNumberFormat="1" applyFont="1" applyFill="1" applyBorder="1" applyProtection="1">
      <alignment/>
      <protection hidden="1"/>
    </xf>
    <xf numFmtId="0" fontId="1" fillId="7" borderId="171" xfId="19" applyNumberFormat="1" applyFont="1" applyFill="1" applyBorder="1" applyProtection="1">
      <alignment/>
      <protection hidden="1"/>
    </xf>
    <xf numFmtId="0" fontId="1" fillId="7" borderId="172" xfId="19" applyNumberFormat="1" applyFont="1" applyFill="1" applyBorder="1" applyProtection="1">
      <alignment/>
      <protection hidden="1"/>
    </xf>
    <xf numFmtId="0" fontId="1" fillId="7" borderId="0" xfId="19" applyNumberFormat="1" applyFont="1" applyFill="1" applyBorder="1" applyAlignment="1" applyProtection="1">
      <alignment horizontal="left"/>
      <protection hidden="1"/>
    </xf>
    <xf numFmtId="0" fontId="0" fillId="7" borderId="56" xfId="19" applyNumberFormat="1" applyFont="1" applyFill="1" applyBorder="1" applyAlignment="1" applyProtection="1">
      <alignment horizontal="left"/>
      <protection hidden="1"/>
    </xf>
    <xf numFmtId="0" fontId="0" fillId="7" borderId="0" xfId="19" applyNumberFormat="1" applyFont="1" applyFill="1" applyBorder="1" applyAlignment="1" applyProtection="1">
      <alignment horizontal="left"/>
      <protection hidden="1"/>
    </xf>
    <xf numFmtId="0" fontId="0" fillId="7" borderId="26" xfId="19" applyNumberFormat="1" applyFont="1" applyFill="1" applyBorder="1" applyAlignment="1" applyProtection="1">
      <alignment horizontal="right"/>
      <protection hidden="1"/>
    </xf>
    <xf numFmtId="0" fontId="13" fillId="7" borderId="26" xfId="19" applyNumberFormat="1" applyFont="1" applyFill="1" applyBorder="1" applyAlignment="1" applyProtection="1">
      <alignment horizontal="right"/>
      <protection hidden="1"/>
    </xf>
    <xf numFmtId="0" fontId="13" fillId="7" borderId="56" xfId="19" applyNumberFormat="1" applyFont="1" applyFill="1" applyBorder="1" applyProtection="1">
      <alignment/>
      <protection hidden="1"/>
    </xf>
    <xf numFmtId="0" fontId="0" fillId="7" borderId="166" xfId="19" applyNumberFormat="1" applyFont="1" applyFill="1" applyBorder="1" applyProtection="1">
      <alignment/>
      <protection hidden="1"/>
    </xf>
    <xf numFmtId="0" fontId="1" fillId="7" borderId="173" xfId="19" applyNumberFormat="1" applyFont="1" applyFill="1" applyBorder="1" applyProtection="1">
      <alignment/>
      <protection hidden="1"/>
    </xf>
    <xf numFmtId="0" fontId="1" fillId="2" borderId="166" xfId="19" applyNumberFormat="1" applyFont="1" applyFill="1" applyBorder="1" applyProtection="1">
      <alignment/>
      <protection hidden="1"/>
    </xf>
    <xf numFmtId="0" fontId="1" fillId="2" borderId="182" xfId="19" applyNumberFormat="1" applyFont="1" applyFill="1" applyBorder="1" applyProtection="1">
      <alignment/>
      <protection hidden="1"/>
    </xf>
    <xf numFmtId="0" fontId="1" fillId="2" borderId="165" xfId="19" applyNumberFormat="1" applyFont="1" applyFill="1" applyBorder="1" applyProtection="1">
      <alignment/>
      <protection hidden="1"/>
    </xf>
    <xf numFmtId="0" fontId="1" fillId="2" borderId="183" xfId="19" applyNumberFormat="1" applyFont="1" applyFill="1" applyBorder="1" applyProtection="1">
      <alignment/>
      <protection hidden="1"/>
    </xf>
    <xf numFmtId="0" fontId="1" fillId="7" borderId="182" xfId="19" applyNumberFormat="1" applyFont="1" applyFill="1" applyBorder="1" applyProtection="1">
      <alignment/>
      <protection hidden="1"/>
    </xf>
    <xf numFmtId="0" fontId="1" fillId="7" borderId="165" xfId="19" applyNumberFormat="1" applyFont="1" applyFill="1" applyBorder="1" applyProtection="1">
      <alignment/>
      <protection hidden="1"/>
    </xf>
    <xf numFmtId="0" fontId="1" fillId="7" borderId="183" xfId="19" applyNumberFormat="1" applyFont="1" applyFill="1" applyBorder="1" applyProtection="1">
      <alignment/>
      <protection hidden="1"/>
    </xf>
    <xf numFmtId="0" fontId="2" fillId="7" borderId="0" xfId="19" applyNumberFormat="1" applyFont="1" applyFill="1" applyProtection="1">
      <alignment/>
      <protection hidden="1"/>
    </xf>
    <xf numFmtId="0" fontId="1" fillId="2" borderId="171" xfId="19" applyNumberFormat="1" applyFont="1" applyFill="1" applyBorder="1" applyProtection="1">
      <alignment/>
      <protection hidden="1"/>
    </xf>
    <xf numFmtId="0" fontId="0" fillId="2" borderId="171" xfId="19" applyNumberFormat="1" applyFont="1" applyFill="1" applyBorder="1" applyProtection="1">
      <alignment/>
      <protection hidden="1"/>
    </xf>
    <xf numFmtId="0" fontId="1" fillId="2" borderId="184" xfId="19" applyNumberFormat="1" applyFont="1" applyFill="1" applyBorder="1" applyAlignment="1" applyProtection="1">
      <alignment horizontal="center"/>
      <protection hidden="1"/>
    </xf>
    <xf numFmtId="0" fontId="1" fillId="2" borderId="113" xfId="19" applyNumberFormat="1" applyFont="1" applyFill="1" applyBorder="1" applyAlignment="1" applyProtection="1">
      <alignment horizontal="left"/>
      <protection hidden="1"/>
    </xf>
    <xf numFmtId="0" fontId="1" fillId="2" borderId="120" xfId="19" applyNumberFormat="1" applyFont="1" applyFill="1" applyBorder="1" applyProtection="1">
      <alignment/>
      <protection hidden="1"/>
    </xf>
    <xf numFmtId="0" fontId="1" fillId="7" borderId="170" xfId="19" applyNumberFormat="1" applyFont="1" applyFill="1" applyBorder="1" applyProtection="1">
      <alignment/>
      <protection hidden="1"/>
    </xf>
    <xf numFmtId="0" fontId="0" fillId="7" borderId="171" xfId="19" applyNumberFormat="1" applyFont="1" applyFill="1" applyBorder="1" applyProtection="1">
      <alignment/>
      <protection hidden="1"/>
    </xf>
    <xf numFmtId="0" fontId="1" fillId="7" borderId="184" xfId="19" applyNumberFormat="1" applyFont="1" applyFill="1" applyBorder="1" applyAlignment="1" applyProtection="1">
      <alignment horizontal="center"/>
      <protection hidden="1"/>
    </xf>
    <xf numFmtId="0" fontId="1" fillId="7" borderId="113" xfId="19" applyNumberFormat="1" applyFont="1" applyFill="1" applyBorder="1" applyAlignment="1" applyProtection="1">
      <alignment horizontal="left"/>
      <protection hidden="1"/>
    </xf>
    <xf numFmtId="0" fontId="1" fillId="7" borderId="120" xfId="19" applyNumberFormat="1" applyFont="1" applyFill="1" applyBorder="1" applyProtection="1">
      <alignment/>
      <protection hidden="1"/>
    </xf>
    <xf numFmtId="0" fontId="1" fillId="2" borderId="185" xfId="19" applyNumberFormat="1" applyFont="1" applyFill="1" applyBorder="1" applyProtection="1">
      <alignment/>
      <protection hidden="1"/>
    </xf>
    <xf numFmtId="0" fontId="0" fillId="2" borderId="10" xfId="19" applyNumberFormat="1" applyFont="1" applyFill="1" applyBorder="1" applyAlignment="1" applyProtection="1">
      <alignment horizontal="center"/>
      <protection hidden="1"/>
    </xf>
    <xf numFmtId="0" fontId="0" fillId="2" borderId="174" xfId="19" applyNumberFormat="1" applyFont="1" applyFill="1" applyBorder="1" applyAlignment="1" applyProtection="1">
      <alignment horizontal="right"/>
      <protection hidden="1"/>
    </xf>
    <xf numFmtId="0" fontId="0" fillId="2" borderId="113" xfId="19" applyNumberFormat="1" applyFont="1" applyFill="1" applyBorder="1" applyAlignment="1" applyProtection="1">
      <alignment horizontal="right"/>
      <protection hidden="1"/>
    </xf>
    <xf numFmtId="0" fontId="1" fillId="7" borderId="185" xfId="19" applyNumberFormat="1" applyFont="1" applyFill="1" applyBorder="1" applyProtection="1">
      <alignment/>
      <protection hidden="1"/>
    </xf>
    <xf numFmtId="0" fontId="1" fillId="7" borderId="171" xfId="19" applyNumberFormat="1" applyFont="1" applyFill="1" applyBorder="1" applyProtection="1">
      <alignment/>
      <protection hidden="1"/>
    </xf>
    <xf numFmtId="0" fontId="0" fillId="7" borderId="10" xfId="19" applyNumberFormat="1" applyFont="1" applyFill="1" applyBorder="1" applyAlignment="1" applyProtection="1">
      <alignment horizontal="center"/>
      <protection hidden="1"/>
    </xf>
    <xf numFmtId="0" fontId="0" fillId="7" borderId="174" xfId="19" applyNumberFormat="1" applyFont="1" applyFill="1" applyBorder="1" applyAlignment="1" applyProtection="1">
      <alignment horizontal="right"/>
      <protection hidden="1"/>
    </xf>
    <xf numFmtId="0" fontId="0" fillId="7" borderId="113" xfId="19" applyNumberFormat="1" applyFont="1" applyFill="1" applyBorder="1" applyAlignment="1" applyProtection="1">
      <alignment horizontal="right"/>
      <protection hidden="1"/>
    </xf>
    <xf numFmtId="0" fontId="1" fillId="2" borderId="10" xfId="19" applyNumberFormat="1" applyFont="1" applyFill="1" applyBorder="1" applyAlignment="1" applyProtection="1">
      <alignment horizontal="left"/>
      <protection hidden="1"/>
    </xf>
    <xf numFmtId="0" fontId="1" fillId="2" borderId="184" xfId="19" applyNumberFormat="1" applyFont="1" applyFill="1" applyBorder="1" applyProtection="1">
      <alignment/>
      <protection hidden="1"/>
    </xf>
    <xf numFmtId="0" fontId="1" fillId="2" borderId="10" xfId="19" applyNumberFormat="1" applyFont="1" applyFill="1" applyBorder="1" applyAlignment="1" applyProtection="1">
      <alignment horizontal="center"/>
      <protection hidden="1"/>
    </xf>
    <xf numFmtId="0" fontId="1" fillId="7" borderId="10" xfId="19" applyNumberFormat="1" applyFont="1" applyFill="1" applyBorder="1" applyAlignment="1" applyProtection="1">
      <alignment horizontal="left"/>
      <protection hidden="1"/>
    </xf>
    <xf numFmtId="0" fontId="1" fillId="7" borderId="184" xfId="19" applyNumberFormat="1" applyFont="1" applyFill="1" applyBorder="1" applyProtection="1">
      <alignment/>
      <protection hidden="1"/>
    </xf>
    <xf numFmtId="0" fontId="1" fillId="7" borderId="10" xfId="19" applyNumberFormat="1" applyFont="1" applyFill="1" applyBorder="1" applyAlignment="1" applyProtection="1">
      <alignment horizontal="center"/>
      <protection hidden="1"/>
    </xf>
    <xf numFmtId="188" fontId="0" fillId="2" borderId="0" xfId="19" applyNumberFormat="1" applyFont="1" applyFill="1" applyProtection="1">
      <alignment/>
      <protection hidden="1"/>
    </xf>
    <xf numFmtId="15" fontId="1" fillId="7" borderId="57" xfId="19" applyNumberFormat="1" applyFont="1" applyFill="1" applyBorder="1" applyProtection="1">
      <alignment/>
      <protection hidden="1"/>
    </xf>
    <xf numFmtId="0" fontId="14" fillId="2" borderId="0" xfId="19" applyNumberFormat="1" applyFont="1" applyFill="1" applyProtection="1">
      <alignment/>
      <protection hidden="1"/>
    </xf>
    <xf numFmtId="0" fontId="1" fillId="2" borderId="103" xfId="19" applyNumberFormat="1" applyFont="1" applyFill="1" applyBorder="1" applyProtection="1">
      <alignment/>
      <protection hidden="1"/>
    </xf>
    <xf numFmtId="0" fontId="1" fillId="2" borderId="42" xfId="19" applyNumberFormat="1" applyFont="1" applyFill="1" applyBorder="1" applyProtection="1">
      <alignment/>
      <protection hidden="1"/>
    </xf>
    <xf numFmtId="0" fontId="1" fillId="2" borderId="113" xfId="19" applyNumberFormat="1" applyFont="1" applyFill="1" applyBorder="1" applyProtection="1">
      <alignment/>
      <protection hidden="1"/>
    </xf>
    <xf numFmtId="0" fontId="1" fillId="2" borderId="112" xfId="19" applyNumberFormat="1" applyFont="1" applyFill="1" applyBorder="1" applyProtection="1">
      <alignment/>
      <protection hidden="1"/>
    </xf>
    <xf numFmtId="0" fontId="1" fillId="7" borderId="176" xfId="19" applyNumberFormat="1" applyFont="1" applyFill="1" applyBorder="1" applyProtection="1">
      <alignment/>
      <protection hidden="1"/>
    </xf>
    <xf numFmtId="0" fontId="1" fillId="7" borderId="42" xfId="19" applyNumberFormat="1" applyFont="1" applyFill="1" applyBorder="1" applyProtection="1">
      <alignment/>
      <protection hidden="1"/>
    </xf>
    <xf numFmtId="0" fontId="1" fillId="7" borderId="113" xfId="19" applyNumberFormat="1" applyFont="1" applyFill="1" applyBorder="1" applyProtection="1">
      <alignment/>
      <protection hidden="1"/>
    </xf>
    <xf numFmtId="0" fontId="1" fillId="7" borderId="112" xfId="19" applyNumberFormat="1" applyFont="1" applyFill="1" applyBorder="1" applyProtection="1">
      <alignment/>
      <protection hidden="1"/>
    </xf>
    <xf numFmtId="2" fontId="1" fillId="2" borderId="0" xfId="19" applyNumberFormat="1" applyFont="1" applyFill="1" applyBorder="1" applyProtection="1">
      <alignment/>
      <protection hidden="1"/>
    </xf>
    <xf numFmtId="0" fontId="1" fillId="7" borderId="178" xfId="19" applyNumberFormat="1" applyFont="1" applyFill="1" applyBorder="1" applyProtection="1">
      <alignment/>
      <protection hidden="1"/>
    </xf>
    <xf numFmtId="0" fontId="1" fillId="3" borderId="0" xfId="19" applyNumberFormat="1" applyFont="1" applyFill="1" applyProtection="1">
      <alignment/>
      <protection hidden="1"/>
    </xf>
    <xf numFmtId="37" fontId="72" fillId="2" borderId="0" xfId="0" applyNumberFormat="1" applyFont="1" applyFill="1" applyBorder="1" applyAlignment="1" applyProtection="1">
      <alignment horizontal="center"/>
      <protection hidden="1"/>
    </xf>
    <xf numFmtId="37" fontId="0" fillId="2" borderId="0" xfId="0" applyBorder="1" applyAlignment="1" applyProtection="1">
      <alignment/>
      <protection hidden="1"/>
    </xf>
    <xf numFmtId="37" fontId="0" fillId="2" borderId="123" xfId="0" applyBorder="1" applyAlignment="1" applyProtection="1">
      <alignment/>
      <protection hidden="1"/>
    </xf>
    <xf numFmtId="0" fontId="18" fillId="2" borderId="32" xfId="0" applyNumberFormat="1" applyFont="1" applyFill="1" applyBorder="1" applyAlignment="1" applyProtection="1">
      <alignment horizontal="center"/>
      <protection hidden="1"/>
    </xf>
    <xf numFmtId="0" fontId="18" fillId="2" borderId="33" xfId="0" applyNumberFormat="1" applyFont="1" applyFill="1" applyBorder="1" applyAlignment="1" applyProtection="1">
      <alignment horizontal="center"/>
      <protection hidden="1"/>
    </xf>
    <xf numFmtId="0" fontId="18" fillId="2" borderId="34" xfId="0" applyNumberFormat="1" applyFont="1" applyFill="1" applyBorder="1" applyAlignment="1" applyProtection="1">
      <alignment horizontal="center"/>
      <protection hidden="1"/>
    </xf>
    <xf numFmtId="37" fontId="4" fillId="2" borderId="0" xfId="0" applyNumberFormat="1" applyFont="1" applyFill="1" applyBorder="1" applyAlignment="1" applyProtection="1">
      <alignment horizontal="center"/>
      <protection hidden="1"/>
    </xf>
    <xf numFmtId="37" fontId="72" fillId="2" borderId="35" xfId="0" applyNumberFormat="1" applyFont="1" applyFill="1" applyBorder="1" applyAlignment="1" applyProtection="1">
      <alignment horizontal="center"/>
      <protection hidden="1"/>
    </xf>
    <xf numFmtId="37" fontId="74" fillId="2" borderId="0" xfId="0" applyFont="1" applyAlignment="1">
      <alignment horizontal="center"/>
    </xf>
    <xf numFmtId="37" fontId="74" fillId="0" borderId="0" xfId="16" applyNumberFormat="1" applyFont="1" applyFill="1" applyBorder="1" applyAlignment="1" applyProtection="1">
      <alignment horizontal="center"/>
      <protection hidden="1"/>
    </xf>
    <xf numFmtId="37" fontId="28" fillId="0" borderId="0" xfId="0" applyNumberFormat="1" applyFont="1" applyFill="1" applyAlignment="1">
      <alignment/>
    </xf>
    <xf numFmtId="37" fontId="7" fillId="8" borderId="186" xfId="0" applyNumberFormat="1" applyFont="1" applyFill="1" applyBorder="1" applyAlignment="1" applyProtection="1">
      <alignment/>
      <protection locked="0"/>
    </xf>
    <xf numFmtId="37" fontId="0" fillId="2" borderId="187" xfId="0" applyNumberFormat="1" applyBorder="1" applyAlignment="1" applyProtection="1">
      <alignment/>
      <protection locked="0"/>
    </xf>
    <xf numFmtId="37" fontId="0" fillId="2" borderId="188" xfId="0" applyNumberFormat="1" applyBorder="1" applyAlignment="1" applyProtection="1">
      <alignment/>
      <protection locked="0"/>
    </xf>
    <xf numFmtId="0" fontId="75" fillId="2" borderId="13" xfId="16" applyNumberFormat="1" applyFont="1" applyFill="1" applyBorder="1" applyAlignment="1" applyProtection="1">
      <alignment/>
      <protection hidden="1"/>
    </xf>
    <xf numFmtId="0" fontId="75" fillId="2" borderId="0" xfId="16" applyNumberFormat="1" applyFont="1" applyAlignment="1" applyProtection="1">
      <alignment/>
      <protection hidden="1"/>
    </xf>
    <xf numFmtId="0" fontId="75" fillId="2" borderId="36" xfId="16" applyNumberFormat="1" applyFont="1" applyBorder="1" applyAlignment="1" applyProtection="1">
      <alignment/>
      <protection hidden="1"/>
    </xf>
    <xf numFmtId="37" fontId="0" fillId="2" borderId="13" xfId="0" applyBorder="1" applyAlignment="1" applyProtection="1">
      <alignment/>
      <protection hidden="1"/>
    </xf>
    <xf numFmtId="37" fontId="72" fillId="2" borderId="36" xfId="0" applyNumberFormat="1" applyFont="1" applyFill="1" applyBorder="1" applyAlignment="1" applyProtection="1">
      <alignment horizontal="center"/>
      <protection hidden="1"/>
    </xf>
    <xf numFmtId="37" fontId="4" fillId="2" borderId="113" xfId="0" applyNumberFormat="1" applyFont="1" applyFill="1" applyBorder="1" applyAlignment="1" applyProtection="1">
      <alignment horizontal="center"/>
      <protection hidden="1"/>
    </xf>
    <xf numFmtId="37" fontId="6" fillId="2" borderId="35" xfId="0" applyNumberFormat="1" applyFont="1" applyFill="1" applyBorder="1" applyAlignment="1" applyProtection="1">
      <alignment horizontal="center"/>
      <protection hidden="1"/>
    </xf>
    <xf numFmtId="37" fontId="6" fillId="2" borderId="0" xfId="0" applyNumberFormat="1" applyFont="1" applyFill="1" applyBorder="1" applyAlignment="1" applyProtection="1">
      <alignment horizontal="center"/>
      <protection hidden="1"/>
    </xf>
    <xf numFmtId="37" fontId="6" fillId="2" borderId="13" xfId="0" applyNumberFormat="1" applyFont="1" applyFill="1" applyBorder="1" applyAlignment="1" applyProtection="1">
      <alignment horizontal="center"/>
      <protection hidden="1"/>
    </xf>
    <xf numFmtId="37" fontId="77" fillId="2" borderId="36" xfId="0" applyNumberFormat="1" applyFont="1" applyFill="1" applyBorder="1" applyAlignment="1" applyProtection="1">
      <alignment/>
      <protection hidden="1"/>
    </xf>
    <xf numFmtId="37" fontId="35" fillId="2" borderId="35" xfId="0" applyNumberFormat="1" applyFont="1" applyFill="1" applyBorder="1" applyAlignment="1" applyProtection="1">
      <alignment/>
      <protection hidden="1"/>
    </xf>
    <xf numFmtId="37" fontId="35" fillId="2" borderId="0" xfId="0" applyNumberFormat="1" applyFont="1" applyFill="1" applyBorder="1" applyAlignment="1" applyProtection="1">
      <alignment/>
      <protection hidden="1"/>
    </xf>
    <xf numFmtId="37" fontId="35" fillId="2" borderId="13" xfId="0" applyNumberFormat="1" applyFont="1" applyFill="1" applyBorder="1" applyAlignment="1" applyProtection="1">
      <alignment horizontal="left"/>
      <protection hidden="1"/>
    </xf>
    <xf numFmtId="37" fontId="35" fillId="2" borderId="0" xfId="0" applyNumberFormat="1" applyFont="1" applyFill="1" applyBorder="1" applyAlignment="1" applyProtection="1">
      <alignment horizontal="left"/>
      <protection hidden="1"/>
    </xf>
    <xf numFmtId="37" fontId="35" fillId="2" borderId="36" xfId="0" applyNumberFormat="1" applyFont="1" applyFill="1" applyBorder="1" applyAlignment="1" applyProtection="1">
      <alignment horizontal="left"/>
      <protection hidden="1"/>
    </xf>
    <xf numFmtId="37" fontId="75" fillId="2" borderId="35" xfId="16" applyFont="1" applyBorder="1" applyAlignment="1" applyProtection="1">
      <alignment/>
      <protection hidden="1"/>
    </xf>
    <xf numFmtId="37" fontId="75" fillId="2" borderId="0" xfId="16" applyFont="1" applyBorder="1" applyAlignment="1" applyProtection="1">
      <alignment/>
      <protection hidden="1"/>
    </xf>
    <xf numFmtId="37" fontId="75" fillId="2" borderId="123" xfId="16" applyFont="1" applyBorder="1" applyAlignment="1" applyProtection="1">
      <alignment/>
      <protection hidden="1"/>
    </xf>
    <xf numFmtId="37" fontId="75" fillId="2" borderId="13" xfId="16" applyNumberFormat="1" applyFont="1" applyFill="1" applyBorder="1" applyAlignment="1" applyProtection="1">
      <alignment/>
      <protection hidden="1"/>
    </xf>
    <xf numFmtId="37" fontId="75" fillId="2" borderId="0" xfId="16" applyNumberFormat="1" applyFont="1" applyFill="1" applyBorder="1" applyAlignment="1" applyProtection="1">
      <alignment/>
      <protection hidden="1"/>
    </xf>
    <xf numFmtId="37" fontId="75" fillId="2" borderId="36" xfId="16" applyNumberFormat="1" applyFont="1" applyFill="1" applyBorder="1" applyAlignment="1" applyProtection="1">
      <alignment/>
      <protection hidden="1"/>
    </xf>
    <xf numFmtId="37" fontId="75" fillId="2" borderId="35" xfId="16" applyNumberFormat="1" applyFont="1" applyFill="1" applyBorder="1" applyAlignment="1" applyProtection="1">
      <alignment/>
      <protection hidden="1"/>
    </xf>
    <xf numFmtId="0" fontId="6" fillId="2" borderId="189" xfId="0" applyNumberFormat="1" applyFont="1" applyFill="1" applyBorder="1" applyAlignment="1" applyProtection="1">
      <alignment horizontal="center" vertical="center"/>
      <protection hidden="1"/>
    </xf>
    <xf numFmtId="0" fontId="6" fillId="2" borderId="144" xfId="0" applyNumberFormat="1" applyFont="1" applyFill="1" applyBorder="1" applyAlignment="1" applyProtection="1">
      <alignment horizontal="center" vertical="center"/>
      <protection hidden="1"/>
    </xf>
    <xf numFmtId="0" fontId="77" fillId="2" borderId="144" xfId="0" applyNumberFormat="1" applyFont="1" applyFill="1" applyBorder="1" applyAlignment="1" applyProtection="1">
      <alignment horizontal="center" vertical="center"/>
      <protection hidden="1"/>
    </xf>
    <xf numFmtId="0" fontId="77" fillId="2" borderId="190" xfId="0" applyNumberFormat="1" applyFont="1" applyFill="1" applyBorder="1" applyAlignment="1" applyProtection="1">
      <alignment horizontal="center" vertical="center"/>
      <protection hidden="1"/>
    </xf>
    <xf numFmtId="0" fontId="35" fillId="2" borderId="35" xfId="0" applyNumberFormat="1" applyFont="1" applyFill="1" applyBorder="1" applyAlignment="1" applyProtection="1">
      <alignment/>
      <protection hidden="1"/>
    </xf>
    <xf numFmtId="0" fontId="35" fillId="2" borderId="0" xfId="0" applyNumberFormat="1" applyFont="1" applyFill="1" applyBorder="1" applyAlignment="1" applyProtection="1">
      <alignment/>
      <protection hidden="1"/>
    </xf>
    <xf numFmtId="0" fontId="35" fillId="2" borderId="36" xfId="0" applyNumberFormat="1" applyFont="1" applyFill="1" applyBorder="1" applyAlignment="1" applyProtection="1">
      <alignment/>
      <protection hidden="1"/>
    </xf>
    <xf numFmtId="180" fontId="47" fillId="6" borderId="0" xfId="0" applyNumberFormat="1" applyFont="1" applyFill="1" applyBorder="1" applyAlignment="1" applyProtection="1">
      <alignment horizontal="left" vertical="center"/>
      <protection hidden="1"/>
    </xf>
    <xf numFmtId="37" fontId="17" fillId="2" borderId="0" xfId="0" applyNumberFormat="1" applyFont="1" applyAlignment="1" applyProtection="1">
      <alignment horizontal="left" vertical="center"/>
      <protection hidden="1"/>
    </xf>
    <xf numFmtId="37" fontId="70" fillId="5" borderId="0" xfId="16" applyNumberFormat="1" applyFont="1" applyFill="1" applyAlignment="1">
      <alignment horizontal="center"/>
    </xf>
    <xf numFmtId="37" fontId="70" fillId="2" borderId="0" xfId="16" applyNumberFormat="1" applyFont="1" applyAlignment="1">
      <alignment/>
    </xf>
    <xf numFmtId="0" fontId="47" fillId="4" borderId="0" xfId="0" applyNumberFormat="1" applyFont="1" applyFill="1" applyBorder="1" applyAlignment="1" applyProtection="1">
      <alignment horizontal="center" vertical="center"/>
      <protection hidden="1"/>
    </xf>
    <xf numFmtId="37" fontId="0" fillId="2" borderId="0" xfId="0" applyNumberFormat="1" applyAlignment="1" applyProtection="1">
      <alignment horizontal="center" vertical="center"/>
      <protection hidden="1"/>
    </xf>
    <xf numFmtId="37" fontId="17" fillId="2" borderId="36" xfId="0" applyNumberFormat="1" applyFont="1" applyBorder="1" applyAlignment="1" applyProtection="1">
      <alignment horizontal="left" vertical="center"/>
      <protection hidden="1"/>
    </xf>
    <xf numFmtId="37" fontId="70" fillId="5" borderId="0" xfId="16" applyNumberFormat="1" applyFont="1" applyFill="1" applyAlignment="1" applyProtection="1">
      <alignment horizontal="center"/>
      <protection hidden="1"/>
    </xf>
    <xf numFmtId="37" fontId="70" fillId="5" borderId="0" xfId="16" applyFont="1" applyFill="1" applyAlignment="1">
      <alignment horizontal="center"/>
    </xf>
    <xf numFmtId="37" fontId="70" fillId="2" borderId="0" xfId="16" applyNumberFormat="1" applyFont="1" applyAlignment="1" applyProtection="1">
      <alignment horizontal="center"/>
      <protection hidden="1"/>
    </xf>
    <xf numFmtId="37" fontId="22" fillId="8" borderId="116" xfId="0" applyNumberFormat="1" applyFont="1" applyFill="1" applyBorder="1" applyAlignment="1" applyProtection="1">
      <alignment vertical="top" wrapText="1"/>
      <protection hidden="1"/>
    </xf>
    <xf numFmtId="37" fontId="0" fillId="8" borderId="144" xfId="0" applyNumberFormat="1" applyFill="1" applyBorder="1" applyAlignment="1" applyProtection="1">
      <alignment vertical="top" wrapText="1"/>
      <protection hidden="1"/>
    </xf>
    <xf numFmtId="37" fontId="0" fillId="8" borderId="122" xfId="0" applyNumberFormat="1" applyFill="1" applyBorder="1" applyAlignment="1" applyProtection="1">
      <alignment vertical="top" wrapText="1"/>
      <protection hidden="1"/>
    </xf>
    <xf numFmtId="37" fontId="22" fillId="8" borderId="13" xfId="0" applyNumberFormat="1" applyFont="1" applyFill="1" applyBorder="1" applyAlignment="1" applyProtection="1">
      <alignment vertical="top" wrapText="1"/>
      <protection hidden="1"/>
    </xf>
    <xf numFmtId="37" fontId="0" fillId="8" borderId="0" xfId="0" applyNumberFormat="1" applyFill="1" applyBorder="1" applyAlignment="1" applyProtection="1">
      <alignment vertical="top" wrapText="1"/>
      <protection hidden="1"/>
    </xf>
    <xf numFmtId="37" fontId="0" fillId="8" borderId="123" xfId="0" applyNumberFormat="1" applyFill="1" applyBorder="1" applyAlignment="1" applyProtection="1">
      <alignment vertical="top" wrapText="1"/>
      <protection hidden="1"/>
    </xf>
    <xf numFmtId="37" fontId="0" fillId="8" borderId="42" xfId="0" applyNumberFormat="1" applyFill="1" applyBorder="1" applyAlignment="1" applyProtection="1">
      <alignment vertical="top" wrapText="1"/>
      <protection hidden="1"/>
    </xf>
    <xf numFmtId="37" fontId="0" fillId="8" borderId="113" xfId="0" applyNumberFormat="1" applyFill="1" applyBorder="1" applyAlignment="1" applyProtection="1">
      <alignment vertical="top" wrapText="1"/>
      <protection hidden="1"/>
    </xf>
    <xf numFmtId="37" fontId="0" fillId="8" borderId="112" xfId="0" applyNumberFormat="1" applyFill="1" applyBorder="1" applyAlignment="1" applyProtection="1">
      <alignment vertical="top" wrapText="1"/>
      <protection hidden="1"/>
    </xf>
    <xf numFmtId="37" fontId="27" fillId="8" borderId="0" xfId="0" applyFont="1" applyFill="1" applyAlignment="1" applyProtection="1">
      <alignment horizontal="center" vertical="center"/>
      <protection hidden="1"/>
    </xf>
    <xf numFmtId="37" fontId="17" fillId="2" borderId="0" xfId="0" applyNumberFormat="1" applyFont="1" applyAlignment="1" applyProtection="1">
      <alignment vertical="center"/>
      <protection hidden="1"/>
    </xf>
    <xf numFmtId="37" fontId="67" fillId="0" borderId="0" xfId="0" applyFont="1" applyFill="1" applyAlignment="1" applyProtection="1">
      <alignment horizontal="center" vertical="center"/>
      <protection hidden="1"/>
    </xf>
    <xf numFmtId="37" fontId="22" fillId="0" borderId="0" xfId="0" applyNumberFormat="1" applyFont="1" applyFill="1" applyAlignment="1" applyProtection="1">
      <alignment/>
      <protection hidden="1"/>
    </xf>
    <xf numFmtId="37" fontId="70" fillId="2" borderId="0" xfId="16" applyNumberFormat="1" applyFont="1" applyAlignment="1">
      <alignment horizontal="center"/>
    </xf>
    <xf numFmtId="37" fontId="70" fillId="5" borderId="0" xfId="16" applyFont="1" applyFill="1" applyAlignment="1">
      <alignment/>
    </xf>
    <xf numFmtId="37" fontId="63" fillId="3" borderId="0" xfId="16" applyNumberFormat="1" applyFont="1" applyFill="1" applyBorder="1" applyAlignment="1" applyProtection="1">
      <alignment horizontal="center" vertical="center"/>
      <protection hidden="1"/>
    </xf>
    <xf numFmtId="37" fontId="18" fillId="3" borderId="0" xfId="0" applyNumberFormat="1" applyFont="1" applyFill="1" applyAlignment="1" applyProtection="1">
      <alignment/>
      <protection hidden="1"/>
    </xf>
    <xf numFmtId="37" fontId="63" fillId="7" borderId="0" xfId="16" applyNumberFormat="1" applyFont="1" applyFill="1" applyBorder="1" applyAlignment="1" applyProtection="1">
      <alignment horizontal="center" vertical="center"/>
      <protection hidden="1"/>
    </xf>
    <xf numFmtId="37" fontId="18" fillId="7" borderId="0" xfId="0" applyNumberFormat="1" applyFont="1" applyFill="1" applyAlignment="1" applyProtection="1">
      <alignment/>
      <protection hidden="1"/>
    </xf>
  </cellXfs>
  <cellStyles count="6">
    <cellStyle name="Normal" xfId="0"/>
    <cellStyle name="Followed Hyperlink" xfId="15"/>
    <cellStyle name="Hyperlink" xfId="16"/>
    <cellStyle name="Normal_APTC" xfId="17"/>
    <cellStyle name="Normal_Manual" xfId="18"/>
    <cellStyle name="Normal_SCALES" xfId="19"/>
  </cellStyles>
  <dxfs count="2">
    <dxf>
      <font>
        <color rgb="FFFFFFFF"/>
      </font>
      <border/>
    </dxf>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685800</xdr:colOff>
      <xdr:row>2</xdr:row>
      <xdr:rowOff>95250</xdr:rowOff>
    </xdr:from>
    <xdr:to>
      <xdr:col>12</xdr:col>
      <xdr:colOff>85725</xdr:colOff>
      <xdr:row>5</xdr:row>
      <xdr:rowOff>152400</xdr:rowOff>
    </xdr:to>
    <xdr:pic>
      <xdr:nvPicPr>
        <xdr:cNvPr id="1" name="Picture 14"/>
        <xdr:cNvPicPr preferRelativeResize="1">
          <a:picLocks noChangeAspect="1"/>
        </xdr:cNvPicPr>
      </xdr:nvPicPr>
      <xdr:blipFill>
        <a:blip r:embed="rId1"/>
        <a:stretch>
          <a:fillRect/>
        </a:stretch>
      </xdr:blipFill>
      <xdr:spPr>
        <a:xfrm>
          <a:off x="7429500" y="466725"/>
          <a:ext cx="895350" cy="771525"/>
        </a:xfrm>
        <a:prstGeom prst="rect">
          <a:avLst/>
        </a:prstGeom>
        <a:solidFill>
          <a:srgbClr val="4A3285"/>
        </a:solidFill>
        <a:ln w="9525" cmpd="sng">
          <a:solidFill>
            <a:srgbClr val="4A3285"/>
          </a:solidFill>
          <a:headEnd type="none"/>
          <a:tailEnd type="none"/>
        </a:ln>
      </xdr:spPr>
    </xdr:pic>
    <xdr:clientData/>
  </xdr:twoCellAnchor>
  <xdr:twoCellAnchor>
    <xdr:from>
      <xdr:col>10</xdr:col>
      <xdr:colOff>542925</xdr:colOff>
      <xdr:row>5</xdr:row>
      <xdr:rowOff>180975</xdr:rowOff>
    </xdr:from>
    <xdr:to>
      <xdr:col>12</xdr:col>
      <xdr:colOff>228600</xdr:colOff>
      <xdr:row>6</xdr:row>
      <xdr:rowOff>228600</xdr:rowOff>
    </xdr:to>
    <xdr:sp>
      <xdr:nvSpPr>
        <xdr:cNvPr id="2" name="TextBox 15"/>
        <xdr:cNvSpPr txBox="1">
          <a:spLocks noChangeArrowheads="1"/>
        </xdr:cNvSpPr>
      </xdr:nvSpPr>
      <xdr:spPr>
        <a:xfrm>
          <a:off x="7286625" y="1266825"/>
          <a:ext cx="1181100" cy="342900"/>
        </a:xfrm>
        <a:prstGeom prst="rect">
          <a:avLst/>
        </a:prstGeom>
        <a:noFill/>
        <a:ln w="9525" cmpd="sng">
          <a:noFill/>
        </a:ln>
      </xdr:spPr>
      <xdr:txBody>
        <a:bodyPr vertOverflow="clip" wrap="square"/>
        <a:p>
          <a:pPr algn="ctr">
            <a:defRPr/>
          </a:pPr>
          <a:r>
            <a:rPr lang="en-US" cap="none" sz="1300" b="0" i="0" u="none" baseline="0">
              <a:solidFill>
                <a:srgbClr val="000080"/>
              </a:solidFill>
            </a:rPr>
            <a:t>EXCEL'ED</a:t>
          </a:r>
        </a:p>
      </xdr:txBody>
    </xdr:sp>
    <xdr:clientData/>
  </xdr:twoCellAnchor>
  <xdr:twoCellAnchor>
    <xdr:from>
      <xdr:col>2</xdr:col>
      <xdr:colOff>276225</xdr:colOff>
      <xdr:row>2</xdr:row>
      <xdr:rowOff>95250</xdr:rowOff>
    </xdr:from>
    <xdr:to>
      <xdr:col>5</xdr:col>
      <xdr:colOff>85725</xdr:colOff>
      <xdr:row>9</xdr:row>
      <xdr:rowOff>104775</xdr:rowOff>
    </xdr:to>
    <xdr:sp>
      <xdr:nvSpPr>
        <xdr:cNvPr id="3" name="AutoShape 16"/>
        <xdr:cNvSpPr>
          <a:spLocks/>
        </xdr:cNvSpPr>
      </xdr:nvSpPr>
      <xdr:spPr>
        <a:xfrm>
          <a:off x="838200" y="466725"/>
          <a:ext cx="1552575" cy="1571625"/>
        </a:xfrm>
        <a:prstGeom prst="cloudCallout">
          <a:avLst>
            <a:gd name="adj1" fmla="val -61657"/>
            <a:gd name="adj2" fmla="val 64546"/>
          </a:avLst>
        </a:prstGeom>
        <a:solidFill>
          <a:srgbClr val="A6CAF0"/>
        </a:solidFill>
        <a:ln w="9525" cmpd="sng">
          <a:solidFill>
            <a:srgbClr val="000000"/>
          </a:solidFill>
          <a:headEnd type="none"/>
          <a:tailEnd type="none"/>
        </a:ln>
      </xdr:spPr>
      <xdr:txBody>
        <a:bodyPr vertOverflow="clip" wrap="square"/>
        <a:p>
          <a:pPr algn="ctr">
            <a:defRPr/>
          </a:pPr>
          <a:r>
            <a:rPr lang="en-US" cap="none" sz="1200" b="0" i="0" u="none" baseline="0">
              <a:solidFill>
                <a:srgbClr val="000080"/>
              </a:solidFill>
            </a:rPr>
            <a:t>'School
financial
management
simplified.'</a:t>
          </a:r>
        </a:p>
      </xdr:txBody>
    </xdr:sp>
    <xdr:clientData/>
  </xdr:twoCellAnchor>
  <xdr:twoCellAnchor>
    <xdr:from>
      <xdr:col>11</xdr:col>
      <xdr:colOff>381000</xdr:colOff>
      <xdr:row>15</xdr:row>
      <xdr:rowOff>66675</xdr:rowOff>
    </xdr:from>
    <xdr:to>
      <xdr:col>16</xdr:col>
      <xdr:colOff>428625</xdr:colOff>
      <xdr:row>18</xdr:row>
      <xdr:rowOff>142875</xdr:rowOff>
    </xdr:to>
    <xdr:sp>
      <xdr:nvSpPr>
        <xdr:cNvPr id="4" name="TextBox 29"/>
        <xdr:cNvSpPr txBox="1">
          <a:spLocks noChangeArrowheads="1"/>
        </xdr:cNvSpPr>
      </xdr:nvSpPr>
      <xdr:spPr>
        <a:xfrm>
          <a:off x="7905750" y="3581400"/>
          <a:ext cx="2762250"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Your school name should appear below to enable the correct function of this system.</a:t>
          </a:r>
        </a:p>
      </xdr:txBody>
    </xdr:sp>
    <xdr:clientData/>
  </xdr:twoCellAnchor>
  <xdr:twoCellAnchor>
    <xdr:from>
      <xdr:col>11</xdr:col>
      <xdr:colOff>419100</xdr:colOff>
      <xdr:row>18</xdr:row>
      <xdr:rowOff>142875</xdr:rowOff>
    </xdr:from>
    <xdr:to>
      <xdr:col>14</xdr:col>
      <xdr:colOff>333375</xdr:colOff>
      <xdr:row>30</xdr:row>
      <xdr:rowOff>66675</xdr:rowOff>
    </xdr:to>
    <xdr:sp>
      <xdr:nvSpPr>
        <xdr:cNvPr id="5" name="Line 30"/>
        <xdr:cNvSpPr>
          <a:spLocks/>
        </xdr:cNvSpPr>
      </xdr:nvSpPr>
      <xdr:spPr>
        <a:xfrm flipH="1">
          <a:off x="7943850" y="4457700"/>
          <a:ext cx="1104900" cy="31242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24</xdr:row>
      <xdr:rowOff>0</xdr:rowOff>
    </xdr:from>
    <xdr:to>
      <xdr:col>7</xdr:col>
      <xdr:colOff>323850</xdr:colOff>
      <xdr:row>27</xdr:row>
      <xdr:rowOff>76200</xdr:rowOff>
    </xdr:to>
    <xdr:sp>
      <xdr:nvSpPr>
        <xdr:cNvPr id="1" name="TextBox 2"/>
        <xdr:cNvSpPr txBox="1">
          <a:spLocks noChangeArrowheads="1"/>
        </xdr:cNvSpPr>
      </xdr:nvSpPr>
      <xdr:spPr>
        <a:xfrm>
          <a:off x="2647950" y="4276725"/>
          <a:ext cx="34575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NOTE: The user guide has been disabled in this demo version of the system.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4</xdr:row>
      <xdr:rowOff>85725</xdr:rowOff>
    </xdr:from>
    <xdr:to>
      <xdr:col>13</xdr:col>
      <xdr:colOff>647700</xdr:colOff>
      <xdr:row>7</xdr:row>
      <xdr:rowOff>190500</xdr:rowOff>
    </xdr:to>
    <xdr:sp>
      <xdr:nvSpPr>
        <xdr:cNvPr id="1" name="TextBox 8"/>
        <xdr:cNvSpPr txBox="1">
          <a:spLocks noChangeArrowheads="1"/>
        </xdr:cNvSpPr>
      </xdr:nvSpPr>
      <xdr:spPr>
        <a:xfrm>
          <a:off x="8058150" y="962025"/>
          <a:ext cx="1914525" cy="733425"/>
        </a:xfrm>
        <a:prstGeom prst="rect">
          <a:avLst/>
        </a:prstGeom>
        <a:solidFill>
          <a:srgbClr val="008000"/>
        </a:solidFill>
        <a:ln w="28575" cmpd="sng">
          <a:solidFill>
            <a:srgbClr val="FFFFFF"/>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London Allowance included within Basic Annual Salary column</a:t>
          </a:r>
        </a:p>
      </xdr:txBody>
    </xdr:sp>
    <xdr:clientData/>
  </xdr:twoCellAnchor>
  <xdr:twoCellAnchor>
    <xdr:from>
      <xdr:col>13</xdr:col>
      <xdr:colOff>638175</xdr:colOff>
      <xdr:row>7</xdr:row>
      <xdr:rowOff>180975</xdr:rowOff>
    </xdr:from>
    <xdr:to>
      <xdr:col>14</xdr:col>
      <xdr:colOff>561975</xdr:colOff>
      <xdr:row>9</xdr:row>
      <xdr:rowOff>0</xdr:rowOff>
    </xdr:to>
    <xdr:sp>
      <xdr:nvSpPr>
        <xdr:cNvPr id="2" name="Line 9"/>
        <xdr:cNvSpPr>
          <a:spLocks/>
        </xdr:cNvSpPr>
      </xdr:nvSpPr>
      <xdr:spPr>
        <a:xfrm>
          <a:off x="9963150" y="1685925"/>
          <a:ext cx="933450" cy="238125"/>
        </a:xfrm>
        <a:prstGeom prst="line">
          <a:avLst/>
        </a:prstGeom>
        <a:noFill/>
        <a:ln w="2857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11</xdr:row>
      <xdr:rowOff>47625</xdr:rowOff>
    </xdr:from>
    <xdr:to>
      <xdr:col>11</xdr:col>
      <xdr:colOff>190500</xdr:colOff>
      <xdr:row>14</xdr:row>
      <xdr:rowOff>295275</xdr:rowOff>
    </xdr:to>
    <xdr:sp>
      <xdr:nvSpPr>
        <xdr:cNvPr id="3" name="TextBox 10"/>
        <xdr:cNvSpPr txBox="1">
          <a:spLocks noChangeArrowheads="1"/>
        </xdr:cNvSpPr>
      </xdr:nvSpPr>
      <xdr:spPr>
        <a:xfrm>
          <a:off x="5524500" y="2466975"/>
          <a:ext cx="2505075" cy="1085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Entries can be made in the blue shaded cells as per the column headings.  The system will calculate in accordance with these entries.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12</xdr:col>
      <xdr:colOff>0</xdr:colOff>
      <xdr:row>31</xdr:row>
      <xdr:rowOff>28575</xdr:rowOff>
    </xdr:to>
    <xdr:sp>
      <xdr:nvSpPr>
        <xdr:cNvPr id="1" name="TextBox 2"/>
        <xdr:cNvSpPr txBox="1">
          <a:spLocks noChangeArrowheads="1"/>
        </xdr:cNvSpPr>
      </xdr:nvSpPr>
      <xdr:spPr>
        <a:xfrm>
          <a:off x="209550" y="4229100"/>
          <a:ext cx="6276975" cy="2571750"/>
        </a:xfrm>
        <a:prstGeom prst="rect">
          <a:avLst/>
        </a:prstGeom>
        <a:solidFill>
          <a:srgbClr val="C0C0C0"/>
        </a:solidFill>
        <a:ln w="38100" cmpd="sng">
          <a:solidFill>
            <a:srgbClr val="FF0000"/>
          </a:solidFill>
          <a:headEnd type="none"/>
          <a:tailEnd type="none"/>
        </a:ln>
      </xdr:spPr>
      <xdr:txBody>
        <a:bodyPr vertOverflow="clip" wrap="square"/>
        <a:p>
          <a:pPr algn="l">
            <a:defRPr/>
          </a:pPr>
          <a:r>
            <a:rPr lang="en-US" cap="none" sz="1200" b="1" i="0" u="sng" baseline="0">
              <a:latin typeface="Arial"/>
              <a:ea typeface="Arial"/>
              <a:cs typeface="Arial"/>
            </a:rPr>
            <a:t>
</a:t>
          </a:r>
          <a:r>
            <a:rPr lang="en-US" cap="none" sz="1200" b="1" i="0" u="none" baseline="0">
              <a:latin typeface="Arial"/>
              <a:ea typeface="Arial"/>
              <a:cs typeface="Arial"/>
            </a:rPr>
            <a:t>                               </a:t>
          </a:r>
          <a:r>
            <a:rPr lang="en-US" cap="none" sz="1200" b="1" i="0" u="sng" baseline="0">
              <a:latin typeface="Arial"/>
              <a:ea typeface="Arial"/>
              <a:cs typeface="Arial"/>
            </a:rPr>
            <a:t>NOTES RE. CALCULATION OF HOLIDAY WEEKS PAYABLE
CARETAKERS &amp; CLEANERS</a:t>
          </a:r>
          <a:r>
            <a:rPr lang="en-US" cap="none" sz="800" b="1" i="0" u="sng" baseline="0">
              <a:latin typeface="Arial"/>
              <a:ea typeface="Arial"/>
              <a:cs typeface="Arial"/>
            </a:rPr>
            <a:t>
</a:t>
          </a:r>
          <a:r>
            <a:rPr lang="en-US" cap="none" sz="1200" b="0" i="0" u="none" baseline="0">
              <a:latin typeface="Arial"/>
              <a:ea typeface="Arial"/>
              <a:cs typeface="Arial"/>
            </a:rPr>
            <a:t>When caretakers and cleaners work fewer than 52 weeks/year their salary should include an allowance for annual leave and bank holidays.  This is calculated by multiplying the hours worked per week by one of the following figures:
NOTE:  The following figures are based on staff working 40 weeks/year.
              Variations on this should be pro rata'd up or down accordingly.
             (Divide by 40, multiply by weeks worked).
       </a:t>
          </a:r>
        </a:p>
      </xdr:txBody>
    </xdr:sp>
    <xdr:clientData/>
  </xdr:twoCellAnchor>
  <xdr:twoCellAnchor>
    <xdr:from>
      <xdr:col>14</xdr:col>
      <xdr:colOff>0</xdr:colOff>
      <xdr:row>18</xdr:row>
      <xdr:rowOff>0</xdr:rowOff>
    </xdr:from>
    <xdr:to>
      <xdr:col>21</xdr:col>
      <xdr:colOff>0</xdr:colOff>
      <xdr:row>27</xdr:row>
      <xdr:rowOff>0</xdr:rowOff>
    </xdr:to>
    <xdr:sp>
      <xdr:nvSpPr>
        <xdr:cNvPr id="2" name="TextBox 7"/>
        <xdr:cNvSpPr txBox="1">
          <a:spLocks noChangeArrowheads="1"/>
        </xdr:cNvSpPr>
      </xdr:nvSpPr>
      <xdr:spPr>
        <a:xfrm>
          <a:off x="6981825" y="4229100"/>
          <a:ext cx="6057900" cy="1724025"/>
        </a:xfrm>
        <a:prstGeom prst="rect">
          <a:avLst/>
        </a:prstGeom>
        <a:solidFill>
          <a:srgbClr val="C0C0C0"/>
        </a:solidFill>
        <a:ln w="44450" cmpd="sng">
          <a:solidFill>
            <a:srgbClr val="FFFF00"/>
          </a:solidFill>
          <a:headEnd type="none"/>
          <a:tailEnd type="none"/>
        </a:ln>
      </xdr:spPr>
      <xdr:txBody>
        <a:bodyPr vertOverflow="clip" wrap="square"/>
        <a:p>
          <a:pPr algn="l">
            <a:defRPr/>
          </a:pPr>
          <a:r>
            <a:rPr lang="en-US" cap="none" sz="1200" b="1" i="0" u="sng" baseline="0">
              <a:latin typeface="Arial"/>
              <a:ea typeface="Arial"/>
              <a:cs typeface="Arial"/>
            </a:rPr>
            <a:t>
NOTES RE. CALCULATION OF HOLIDAY &amp; RETAINER FEE WEEKS
PAYABLE
HOLIDAY WEEKS PAYABLE TO SMSAs</a:t>
          </a:r>
          <a:r>
            <a:rPr lang="en-US" cap="none" sz="800" b="1" i="0" u="sng" baseline="0">
              <a:latin typeface="Arial"/>
              <a:ea typeface="Arial"/>
              <a:cs typeface="Arial"/>
            </a:rPr>
            <a:t>
</a:t>
          </a:r>
          <a:r>
            <a:rPr lang="en-US" cap="none" sz="1200" b="0" i="0" u="none" baseline="0">
              <a:latin typeface="Arial"/>
              <a:ea typeface="Arial"/>
              <a:cs typeface="Arial"/>
            </a:rPr>
            <a:t>The </a:t>
          </a:r>
          <a:r>
            <a:rPr lang="en-US" cap="none" sz="1200" b="1" i="0" u="none" baseline="0">
              <a:latin typeface="Arial"/>
              <a:ea typeface="Arial"/>
              <a:cs typeface="Arial"/>
            </a:rPr>
            <a:t>number of holiday weeks</a:t>
          </a:r>
          <a:r>
            <a:rPr lang="en-US" cap="none" sz="1200" b="0" i="0" u="none" baseline="0">
              <a:latin typeface="Arial"/>
              <a:ea typeface="Arial"/>
              <a:cs typeface="Arial"/>
            </a:rPr>
            <a:t> to be entered here is calculated based on length of service as follows:</a:t>
          </a:r>
          <a:r>
            <a:rPr lang="en-US" cap="none" sz="800" b="0" i="0" u="none" baseline="0">
              <a:latin typeface="Arial"/>
              <a:ea typeface="Arial"/>
              <a:cs typeface="Arial"/>
            </a:rPr>
            <a:t>
</a:t>
          </a:r>
          <a:r>
            <a:rPr lang="en-US" cap="none" sz="1200" b="1" i="0" u="sng" baseline="0">
              <a:latin typeface="Arial"/>
              <a:ea typeface="Arial"/>
              <a:cs typeface="Arial"/>
            </a:rPr>
            <a:t/>
          </a:r>
        </a:p>
      </xdr:txBody>
    </xdr:sp>
    <xdr:clientData/>
  </xdr:twoCellAnchor>
  <xdr:twoCellAnchor>
    <xdr:from>
      <xdr:col>16</xdr:col>
      <xdr:colOff>695325</xdr:colOff>
      <xdr:row>3</xdr:row>
      <xdr:rowOff>85725</xdr:rowOff>
    </xdr:from>
    <xdr:to>
      <xdr:col>18</xdr:col>
      <xdr:colOff>847725</xdr:colOff>
      <xdr:row>7</xdr:row>
      <xdr:rowOff>9525</xdr:rowOff>
    </xdr:to>
    <xdr:sp>
      <xdr:nvSpPr>
        <xdr:cNvPr id="3" name="TextBox 9"/>
        <xdr:cNvSpPr txBox="1">
          <a:spLocks noChangeArrowheads="1"/>
        </xdr:cNvSpPr>
      </xdr:nvSpPr>
      <xdr:spPr>
        <a:xfrm>
          <a:off x="9696450" y="771525"/>
          <a:ext cx="2171700" cy="771525"/>
        </a:xfrm>
        <a:prstGeom prst="rect">
          <a:avLst/>
        </a:prstGeom>
        <a:solidFill>
          <a:srgbClr val="008000"/>
        </a:solidFill>
        <a:ln w="28575" cmpd="sng">
          <a:solidFill>
            <a:srgbClr val="FFFFFF"/>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London Allowance included within Basic Annual Salary column</a:t>
          </a:r>
        </a:p>
      </xdr:txBody>
    </xdr:sp>
    <xdr:clientData/>
  </xdr:twoCellAnchor>
  <xdr:twoCellAnchor>
    <xdr:from>
      <xdr:col>15</xdr:col>
      <xdr:colOff>523875</xdr:colOff>
      <xdr:row>6</xdr:row>
      <xdr:rowOff>76200</xdr:rowOff>
    </xdr:from>
    <xdr:to>
      <xdr:col>16</xdr:col>
      <xdr:colOff>714375</xdr:colOff>
      <xdr:row>7</xdr:row>
      <xdr:rowOff>200025</xdr:rowOff>
    </xdr:to>
    <xdr:sp>
      <xdr:nvSpPr>
        <xdr:cNvPr id="4" name="Line 10"/>
        <xdr:cNvSpPr>
          <a:spLocks/>
        </xdr:cNvSpPr>
      </xdr:nvSpPr>
      <xdr:spPr>
        <a:xfrm flipH="1">
          <a:off x="8515350" y="1409700"/>
          <a:ext cx="1200150" cy="323850"/>
        </a:xfrm>
        <a:prstGeom prst="line">
          <a:avLst/>
        </a:prstGeom>
        <a:noFill/>
        <a:ln w="2857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31</xdr:row>
      <xdr:rowOff>0</xdr:rowOff>
    </xdr:from>
    <xdr:to>
      <xdr:col>21</xdr:col>
      <xdr:colOff>0</xdr:colOff>
      <xdr:row>43</xdr:row>
      <xdr:rowOff>190500</xdr:rowOff>
    </xdr:to>
    <xdr:sp>
      <xdr:nvSpPr>
        <xdr:cNvPr id="5" name="TextBox 17"/>
        <xdr:cNvSpPr txBox="1">
          <a:spLocks noChangeArrowheads="1"/>
        </xdr:cNvSpPr>
      </xdr:nvSpPr>
      <xdr:spPr>
        <a:xfrm>
          <a:off x="6981825" y="6772275"/>
          <a:ext cx="6057900" cy="2486025"/>
        </a:xfrm>
        <a:prstGeom prst="rect">
          <a:avLst/>
        </a:prstGeom>
        <a:solidFill>
          <a:srgbClr val="C0C0C0"/>
        </a:solidFill>
        <a:ln w="44450" cmpd="sng">
          <a:solidFill>
            <a:srgbClr val="FFFF00"/>
          </a:solidFill>
          <a:headEnd type="none"/>
          <a:tailEnd type="none"/>
        </a:ln>
      </xdr:spPr>
      <xdr:txBody>
        <a:bodyPr vertOverflow="clip" wrap="square"/>
        <a:p>
          <a:pPr algn="l">
            <a:defRPr/>
          </a:pPr>
          <a:r>
            <a:rPr lang="en-US" cap="none" sz="800" b="0" i="0" u="none" baseline="0">
              <a:latin typeface="Arial"/>
              <a:ea typeface="Arial"/>
              <a:cs typeface="Arial"/>
            </a:rPr>
            <a:t>
</a:t>
          </a:r>
          <a:r>
            <a:rPr lang="en-US" cap="none" sz="1200" b="1" i="0" u="sng" baseline="0">
              <a:latin typeface="Arial"/>
              <a:ea typeface="Arial"/>
              <a:cs typeface="Arial"/>
            </a:rPr>
            <a:t>RETAINER FEE  WEEKS PAYABLE TO SMSAs</a:t>
          </a:r>
          <a:r>
            <a:rPr lang="en-US" cap="none" sz="1200" b="0" i="0" u="none" baseline="0">
              <a:latin typeface="Arial"/>
              <a:ea typeface="Arial"/>
              <a:cs typeface="Arial"/>
            </a:rPr>
            <a:t>
</a:t>
          </a:r>
          <a:r>
            <a:rPr lang="en-US" cap="none" sz="800" b="0" i="0" u="none" baseline="0">
              <a:latin typeface="Arial"/>
              <a:ea typeface="Arial"/>
              <a:cs typeface="Arial"/>
            </a:rPr>
            <a:t>
</a:t>
          </a:r>
          <a:r>
            <a:rPr lang="en-US" cap="none" sz="1200" b="0" i="0" u="none" baseline="0">
              <a:latin typeface="Arial"/>
              <a:ea typeface="Arial"/>
              <a:cs typeface="Arial"/>
            </a:rPr>
            <a:t>The </a:t>
          </a:r>
          <a:r>
            <a:rPr lang="en-US" cap="none" sz="1200" b="1" i="0" u="none" baseline="0">
              <a:latin typeface="Arial"/>
              <a:ea typeface="Arial"/>
              <a:cs typeface="Arial"/>
            </a:rPr>
            <a:t>number of retainer fee weeks</a:t>
          </a:r>
          <a:r>
            <a:rPr lang="en-US" cap="none" sz="1200" b="0" i="0" u="none" baseline="0">
              <a:latin typeface="Arial"/>
              <a:ea typeface="Arial"/>
              <a:cs typeface="Arial"/>
            </a:rPr>
            <a:t> is entered automatically based on length of service as follows:
       Less than 5 years service:  4.1 weeks payable
       More than 5 years service:  3.6 weeks payable
The payroll section will add the appropriate retaining fee automatically and do not need to be notified of the amount.</a:t>
          </a:r>
        </a:p>
      </xdr:txBody>
    </xdr:sp>
    <xdr:clientData/>
  </xdr:twoCellAnchor>
  <xdr:twoCellAnchor>
    <xdr:from>
      <xdr:col>9</xdr:col>
      <xdr:colOff>600075</xdr:colOff>
      <xdr:row>8</xdr:row>
      <xdr:rowOff>142875</xdr:rowOff>
    </xdr:from>
    <xdr:to>
      <xdr:col>14</xdr:col>
      <xdr:colOff>685800</xdr:colOff>
      <xdr:row>12</xdr:row>
      <xdr:rowOff>295275</xdr:rowOff>
    </xdr:to>
    <xdr:sp>
      <xdr:nvSpPr>
        <xdr:cNvPr id="6" name="TextBox 26"/>
        <xdr:cNvSpPr txBox="1">
          <a:spLocks noChangeArrowheads="1"/>
        </xdr:cNvSpPr>
      </xdr:nvSpPr>
      <xdr:spPr>
        <a:xfrm>
          <a:off x="5162550" y="1885950"/>
          <a:ext cx="2505075" cy="1085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Entries can be made in the blue shaded cells as per the column headings.  The system will calculate in accordance with these entries.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14</xdr:col>
      <xdr:colOff>0</xdr:colOff>
      <xdr:row>32</xdr:row>
      <xdr:rowOff>0</xdr:rowOff>
    </xdr:to>
    <xdr:sp>
      <xdr:nvSpPr>
        <xdr:cNvPr id="1" name="TextBox 4"/>
        <xdr:cNvSpPr txBox="1">
          <a:spLocks noChangeArrowheads="1"/>
        </xdr:cNvSpPr>
      </xdr:nvSpPr>
      <xdr:spPr>
        <a:xfrm>
          <a:off x="209550" y="4991100"/>
          <a:ext cx="6200775" cy="2409825"/>
        </a:xfrm>
        <a:prstGeom prst="rect">
          <a:avLst/>
        </a:prstGeom>
        <a:solidFill>
          <a:srgbClr val="C0C0C0"/>
        </a:solidFill>
        <a:ln w="38100" cmpd="sng">
          <a:solidFill>
            <a:srgbClr val="FF0000"/>
          </a:solidFill>
          <a:headEnd type="none"/>
          <a:tailEnd type="none"/>
        </a:ln>
      </xdr:spPr>
      <xdr:txBody>
        <a:bodyPr vertOverflow="clip" wrap="square"/>
        <a:p>
          <a:pPr algn="l">
            <a:defRPr/>
          </a:pPr>
          <a:r>
            <a:rPr lang="en-US" cap="none" sz="1200" b="1" i="0" u="sng" baseline="0">
              <a:latin typeface="Arial"/>
              <a:ea typeface="Arial"/>
              <a:cs typeface="Arial"/>
            </a:rPr>
            <a:t>
NOTES RE. CALCULATION OF ANNUAL LEAVE ENTITLEMENT HOURS PAYABLE  (ADMIN. &amp; TECHNICIANS)
</a:t>
          </a:r>
          <a:r>
            <a:rPr lang="en-US" cap="none" sz="1200" b="0" i="0" u="none" baseline="0">
              <a:latin typeface="Arial"/>
              <a:ea typeface="Arial"/>
              <a:cs typeface="Arial"/>
            </a:rPr>
            <a:t>If staff work fewer than 52 weeks/year their salary should include an allowance for annual leave and bank holidays.  This is calculated by multiplying the hours worked per week by one of the following figures:</a:t>
          </a:r>
          <a:r>
            <a:rPr lang="en-US" cap="none" sz="1200" b="1" i="0" u="sng" baseline="0">
              <a:latin typeface="Arial"/>
              <a:ea typeface="Arial"/>
              <a:cs typeface="Arial"/>
            </a:rPr>
            <a:t>
NOTE:</a:t>
          </a:r>
          <a:r>
            <a:rPr lang="en-US" cap="none" sz="1200" b="1" i="0" u="none" baseline="0">
              <a:latin typeface="Arial"/>
              <a:ea typeface="Arial"/>
              <a:cs typeface="Arial"/>
            </a:rPr>
            <a:t>  The following figures are based on staff working 40 weeks/year.
</a:t>
          </a:r>
          <a:r>
            <a:rPr lang="en-US" cap="none" sz="1200" b="0" i="0" u="none" baseline="0">
              <a:latin typeface="Arial"/>
              <a:ea typeface="Arial"/>
              <a:cs typeface="Arial"/>
            </a:rPr>
            <a:t>             </a:t>
          </a:r>
          <a:r>
            <a:rPr lang="en-US" cap="none" sz="1200" b="1" i="0" u="none" baseline="0">
              <a:latin typeface="Arial"/>
              <a:ea typeface="Arial"/>
              <a:cs typeface="Arial"/>
            </a:rPr>
            <a:t> The system will calculate variations on this for you accordingly.
             </a:t>
          </a:r>
          <a:r>
            <a:rPr lang="en-US" cap="none" sz="1200" b="0" i="0" u="none" baseline="0">
              <a:latin typeface="Arial"/>
              <a:ea typeface="Arial"/>
              <a:cs typeface="Arial"/>
            </a:rPr>
            <a:t>(Divide by 40, multiply by weeks worked).</a:t>
          </a:r>
          <a:r>
            <a:rPr lang="en-US" cap="none" sz="1200" b="1" i="0" u="none" baseline="0">
              <a:latin typeface="Arial"/>
              <a:ea typeface="Arial"/>
              <a:cs typeface="Arial"/>
            </a:rPr>
            <a:t>
       </a:t>
          </a:r>
        </a:p>
      </xdr:txBody>
    </xdr:sp>
    <xdr:clientData/>
  </xdr:twoCellAnchor>
  <xdr:twoCellAnchor>
    <xdr:from>
      <xdr:col>17</xdr:col>
      <xdr:colOff>485775</xdr:colOff>
      <xdr:row>3</xdr:row>
      <xdr:rowOff>47625</xdr:rowOff>
    </xdr:from>
    <xdr:to>
      <xdr:col>20</xdr:col>
      <xdr:colOff>590550</xdr:colOff>
      <xdr:row>6</xdr:row>
      <xdr:rowOff>161925</xdr:rowOff>
    </xdr:to>
    <xdr:sp>
      <xdr:nvSpPr>
        <xdr:cNvPr id="2" name="TextBox 8"/>
        <xdr:cNvSpPr txBox="1">
          <a:spLocks noChangeArrowheads="1"/>
        </xdr:cNvSpPr>
      </xdr:nvSpPr>
      <xdr:spPr>
        <a:xfrm>
          <a:off x="9315450" y="733425"/>
          <a:ext cx="3133725" cy="771525"/>
        </a:xfrm>
        <a:prstGeom prst="rect">
          <a:avLst/>
        </a:prstGeom>
        <a:solidFill>
          <a:srgbClr val="008000"/>
        </a:solidFill>
        <a:ln w="28575" cmpd="sng">
          <a:solidFill>
            <a:srgbClr val="FFFFFF"/>
          </a:solidFill>
          <a:headEnd type="none"/>
          <a:tailEnd type="none"/>
        </a:ln>
      </xdr:spPr>
      <xdr:txBody>
        <a:bodyPr vertOverflow="clip" wrap="square"/>
        <a:p>
          <a:pPr algn="l">
            <a:defRPr/>
          </a:pPr>
          <a:r>
            <a:rPr lang="en-US" cap="none" sz="1300" b="1" i="0" u="none" baseline="0">
              <a:solidFill>
                <a:srgbClr val="FFFFFF"/>
              </a:solidFill>
              <a:latin typeface="Arial"/>
              <a:ea typeface="Arial"/>
              <a:cs typeface="Arial"/>
            </a:rPr>
            <a:t>London Allowance included within Basic Annual Salary column</a:t>
          </a:r>
        </a:p>
      </xdr:txBody>
    </xdr:sp>
    <xdr:clientData/>
  </xdr:twoCellAnchor>
  <xdr:twoCellAnchor>
    <xdr:from>
      <xdr:col>16</xdr:col>
      <xdr:colOff>714375</xdr:colOff>
      <xdr:row>6</xdr:row>
      <xdr:rowOff>0</xdr:rowOff>
    </xdr:from>
    <xdr:to>
      <xdr:col>17</xdr:col>
      <xdr:colOff>466725</xdr:colOff>
      <xdr:row>7</xdr:row>
      <xdr:rowOff>0</xdr:rowOff>
    </xdr:to>
    <xdr:sp>
      <xdr:nvSpPr>
        <xdr:cNvPr id="3" name="Line 9"/>
        <xdr:cNvSpPr>
          <a:spLocks/>
        </xdr:cNvSpPr>
      </xdr:nvSpPr>
      <xdr:spPr>
        <a:xfrm flipH="1">
          <a:off x="8534400" y="1343025"/>
          <a:ext cx="762000" cy="209550"/>
        </a:xfrm>
        <a:prstGeom prst="line">
          <a:avLst/>
        </a:prstGeom>
        <a:noFill/>
        <a:ln w="2857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123825</xdr:colOff>
      <xdr:row>10</xdr:row>
      <xdr:rowOff>228600</xdr:rowOff>
    </xdr:from>
    <xdr:to>
      <xdr:col>14</xdr:col>
      <xdr:colOff>381000</xdr:colOff>
      <xdr:row>14</xdr:row>
      <xdr:rowOff>133350</xdr:rowOff>
    </xdr:to>
    <xdr:sp>
      <xdr:nvSpPr>
        <xdr:cNvPr id="4" name="TextBox 26"/>
        <xdr:cNvSpPr txBox="1">
          <a:spLocks noChangeArrowheads="1"/>
        </xdr:cNvSpPr>
      </xdr:nvSpPr>
      <xdr:spPr>
        <a:xfrm>
          <a:off x="4286250" y="2476500"/>
          <a:ext cx="2505075" cy="1085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Entries can be made in the blue shaded cells as per the column headings.  The system will calculate in accordance with these entries.</a:t>
          </a:r>
        </a:p>
      </xdr:txBody>
    </xdr:sp>
    <xdr:clientData/>
  </xdr:twoCellAnchor>
  <xdr:twoCellAnchor>
    <xdr:from>
      <xdr:col>9</xdr:col>
      <xdr:colOff>647700</xdr:colOff>
      <xdr:row>17</xdr:row>
      <xdr:rowOff>66675</xdr:rowOff>
    </xdr:from>
    <xdr:to>
      <xdr:col>14</xdr:col>
      <xdr:colOff>381000</xdr:colOff>
      <xdr:row>24</xdr:row>
      <xdr:rowOff>114300</xdr:rowOff>
    </xdr:to>
    <xdr:sp>
      <xdr:nvSpPr>
        <xdr:cNvPr id="5" name="TextBox 28"/>
        <xdr:cNvSpPr txBox="1">
          <a:spLocks noChangeArrowheads="1"/>
        </xdr:cNvSpPr>
      </xdr:nvSpPr>
      <xdr:spPr>
        <a:xfrm>
          <a:off x="4152900" y="4552950"/>
          <a:ext cx="2638425" cy="136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Holiday weeks payable in accordance with your terms and conditions can be made in the blue shaded cells here.  The system will calculate in accordance with these entries.</a:t>
          </a:r>
        </a:p>
      </xdr:txBody>
    </xdr:sp>
    <xdr:clientData/>
  </xdr:twoCellAnchor>
  <xdr:twoCellAnchor>
    <xdr:from>
      <xdr:col>14</xdr:col>
      <xdr:colOff>371475</xdr:colOff>
      <xdr:row>22</xdr:row>
      <xdr:rowOff>104775</xdr:rowOff>
    </xdr:from>
    <xdr:to>
      <xdr:col>15</xdr:col>
      <xdr:colOff>447675</xdr:colOff>
      <xdr:row>22</xdr:row>
      <xdr:rowOff>190500</xdr:rowOff>
    </xdr:to>
    <xdr:sp>
      <xdr:nvSpPr>
        <xdr:cNvPr id="6" name="Line 29"/>
        <xdr:cNvSpPr>
          <a:spLocks/>
        </xdr:cNvSpPr>
      </xdr:nvSpPr>
      <xdr:spPr>
        <a:xfrm>
          <a:off x="6781800" y="5505450"/>
          <a:ext cx="476250" cy="85725"/>
        </a:xfrm>
        <a:prstGeom prst="line">
          <a:avLst/>
        </a:prstGeom>
        <a:noFill/>
        <a:ln w="2857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9</xdr:row>
      <xdr:rowOff>342900</xdr:rowOff>
    </xdr:from>
    <xdr:to>
      <xdr:col>9</xdr:col>
      <xdr:colOff>2447925</xdr:colOff>
      <xdr:row>17</xdr:row>
      <xdr:rowOff>104775</xdr:rowOff>
    </xdr:to>
    <xdr:sp>
      <xdr:nvSpPr>
        <xdr:cNvPr id="1" name="TextBox 5"/>
        <xdr:cNvSpPr txBox="1">
          <a:spLocks noChangeArrowheads="1"/>
        </xdr:cNvSpPr>
      </xdr:nvSpPr>
      <xdr:spPr>
        <a:xfrm>
          <a:off x="7924800" y="2114550"/>
          <a:ext cx="2381250" cy="2000250"/>
        </a:xfrm>
        <a:prstGeom prst="rect">
          <a:avLst/>
        </a:prstGeom>
        <a:solidFill>
          <a:srgbClr val="C0C0C0"/>
        </a:solidFill>
        <a:ln w="9525" cmpd="sng">
          <a:noFill/>
        </a:ln>
      </xdr:spPr>
      <xdr:txBody>
        <a:bodyPr vertOverflow="clip" wrap="square"/>
        <a:p>
          <a:pPr algn="l">
            <a:defRPr/>
          </a:pPr>
          <a:r>
            <a:rPr lang="en-US" cap="none" sz="1200" b="0" i="0" u="none" baseline="0">
              <a:solidFill>
                <a:srgbClr val="0000FF"/>
              </a:solidFill>
              <a:latin typeface="Arial"/>
              <a:ea typeface="Arial"/>
              <a:cs typeface="Arial"/>
            </a:rPr>
            <a:t>Enter the appropriate pay point into the blue shaded cells to the </a:t>
          </a:r>
          <a:r>
            <a:rPr lang="en-US" cap="none" sz="1200" b="1" i="0" u="none" baseline="0">
              <a:solidFill>
                <a:srgbClr val="0000FF"/>
              </a:solidFill>
              <a:latin typeface="Arial"/>
              <a:ea typeface="Arial"/>
              <a:cs typeface="Arial"/>
            </a:rPr>
            <a:t>far left</a:t>
          </a:r>
          <a:r>
            <a:rPr lang="en-US" cap="none" sz="1200" b="0" i="0" u="none" baseline="0">
              <a:solidFill>
                <a:srgbClr val="0000FF"/>
              </a:solidFill>
              <a:latin typeface="Arial"/>
              <a:ea typeface="Arial"/>
              <a:cs typeface="Arial"/>
            </a:rPr>
            <a:t>.  The figures appearing in the green cells reflect the various hourly rates payable to the caretaker / cleaner.</a:t>
          </a:r>
          <a:r>
            <a:rPr lang="en-US" cap="none" sz="8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Enter the % on-cost figure into the blue shaded cells just to the left. This will provide a total hourly rate to be met from school funds.</a:t>
          </a:r>
        </a:p>
      </xdr:txBody>
    </xdr:sp>
    <xdr:clientData/>
  </xdr:twoCellAnchor>
  <xdr:twoCellAnchor>
    <xdr:from>
      <xdr:col>8</xdr:col>
      <xdr:colOff>219075</xdr:colOff>
      <xdr:row>20</xdr:row>
      <xdr:rowOff>180975</xdr:rowOff>
    </xdr:from>
    <xdr:to>
      <xdr:col>9</xdr:col>
      <xdr:colOff>1485900</xdr:colOff>
      <xdr:row>25</xdr:row>
      <xdr:rowOff>285750</xdr:rowOff>
    </xdr:to>
    <xdr:sp>
      <xdr:nvSpPr>
        <xdr:cNvPr id="2" name="TextBox 6"/>
        <xdr:cNvSpPr txBox="1">
          <a:spLocks noChangeArrowheads="1"/>
        </xdr:cNvSpPr>
      </xdr:nvSpPr>
      <xdr:spPr>
        <a:xfrm>
          <a:off x="6981825" y="5010150"/>
          <a:ext cx="2362200" cy="1362075"/>
        </a:xfrm>
        <a:prstGeom prst="rect">
          <a:avLst/>
        </a:prstGeom>
        <a:solidFill>
          <a:srgbClr val="C0C0C0"/>
        </a:solidFill>
        <a:ln w="9525" cmpd="sng">
          <a:noFill/>
        </a:ln>
      </xdr:spPr>
      <xdr:txBody>
        <a:bodyPr vertOverflow="clip" wrap="square"/>
        <a:p>
          <a:pPr algn="l">
            <a:defRPr/>
          </a:pPr>
          <a:r>
            <a:rPr lang="en-US" cap="none" sz="1200" b="0" i="0" u="none" baseline="0">
              <a:solidFill>
                <a:srgbClr val="0000FF"/>
              </a:solidFill>
              <a:latin typeface="Arial"/>
              <a:ea typeface="Arial"/>
              <a:cs typeface="Arial"/>
            </a:rPr>
            <a:t>The figures appearing to the left are based on those entered above and include on-costs.  These hourly rates are the actual cost to the school and should be charged to the hirer of the premises in the event of lettings.</a:t>
          </a:r>
        </a:p>
      </xdr:txBody>
    </xdr:sp>
    <xdr:clientData/>
  </xdr:twoCellAnchor>
  <xdr:twoCellAnchor>
    <xdr:from>
      <xdr:col>9</xdr:col>
      <xdr:colOff>752475</xdr:colOff>
      <xdr:row>17</xdr:row>
      <xdr:rowOff>0</xdr:rowOff>
    </xdr:from>
    <xdr:to>
      <xdr:col>12</xdr:col>
      <xdr:colOff>523875</xdr:colOff>
      <xdr:row>21</xdr:row>
      <xdr:rowOff>19050</xdr:rowOff>
    </xdr:to>
    <xdr:sp>
      <xdr:nvSpPr>
        <xdr:cNvPr id="3" name="TextBox 7"/>
        <xdr:cNvSpPr txBox="1">
          <a:spLocks noChangeArrowheads="1"/>
        </xdr:cNvSpPr>
      </xdr:nvSpPr>
      <xdr:spPr>
        <a:xfrm>
          <a:off x="8610600" y="4010025"/>
          <a:ext cx="2505075" cy="1085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Entries can be made in the blue shaded cells as per the column headings.  The system will calculate in accordance with these entries.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62</xdr:row>
      <xdr:rowOff>104775</xdr:rowOff>
    </xdr:from>
    <xdr:to>
      <xdr:col>32</xdr:col>
      <xdr:colOff>304800</xdr:colOff>
      <xdr:row>62</xdr:row>
      <xdr:rowOff>114300</xdr:rowOff>
    </xdr:to>
    <xdr:sp>
      <xdr:nvSpPr>
        <xdr:cNvPr id="1" name="Line 14"/>
        <xdr:cNvSpPr>
          <a:spLocks/>
        </xdr:cNvSpPr>
      </xdr:nvSpPr>
      <xdr:spPr>
        <a:xfrm flipH="1" flipV="1">
          <a:off x="19011900" y="12506325"/>
          <a:ext cx="333375" cy="95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ve@exceled.co.u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69"/>
  <sheetViews>
    <sheetView showGridLines="0" showRowColHeaders="0" zoomScale="75" zoomScaleNormal="75" workbookViewId="0" topLeftCell="A1">
      <selection activeCell="A1" sqref="A1"/>
    </sheetView>
  </sheetViews>
  <sheetFormatPr defaultColWidth="8.88671875" defaultRowHeight="15" zeroHeight="1"/>
  <cols>
    <col min="1" max="1" width="4.77734375" style="2" customWidth="1"/>
    <col min="2" max="2" width="1.77734375" style="2" customWidth="1"/>
    <col min="3" max="3" width="3.6640625" style="2" customWidth="1"/>
    <col min="4" max="5" width="8.3359375" style="2" customWidth="1"/>
    <col min="6" max="6" width="9.88671875" style="2" customWidth="1"/>
    <col min="7" max="7" width="12.3359375" style="2" customWidth="1"/>
    <col min="8" max="8" width="9.88671875" style="2" customWidth="1"/>
    <col min="9" max="9" width="11.3359375" style="2" customWidth="1"/>
    <col min="10" max="10" width="8.3359375" style="2" customWidth="1"/>
    <col min="11" max="11" width="9.10546875" style="2" customWidth="1"/>
    <col min="12" max="12" width="8.3359375" style="2" customWidth="1"/>
    <col min="13" max="13" width="3.77734375" style="2" customWidth="1"/>
    <col min="14" max="14" width="1.77734375" style="2" customWidth="1"/>
    <col min="15" max="26" width="8.88671875" style="2" customWidth="1"/>
    <col min="27" max="16384" width="0" style="2" hidden="1" customWidth="1"/>
  </cols>
  <sheetData>
    <row r="1" spans="1:26" ht="13.5" thickBot="1">
      <c r="A1" s="324"/>
      <c r="B1" s="324"/>
      <c r="C1" s="324"/>
      <c r="D1" s="324"/>
      <c r="E1" s="324"/>
      <c r="F1" s="324"/>
      <c r="G1" s="324"/>
      <c r="H1" s="324"/>
      <c r="I1" s="324"/>
      <c r="J1" s="324"/>
      <c r="K1" s="324"/>
      <c r="L1" s="324"/>
      <c r="M1" s="324"/>
      <c r="N1" s="324"/>
      <c r="O1" s="324"/>
      <c r="P1" s="1"/>
      <c r="Q1" s="1"/>
      <c r="R1" s="1"/>
      <c r="S1" s="1"/>
      <c r="T1" s="1"/>
      <c r="U1" s="1"/>
      <c r="V1" s="1"/>
      <c r="W1" s="1"/>
      <c r="X1" s="1"/>
      <c r="Y1" s="1"/>
      <c r="Z1" s="1"/>
    </row>
    <row r="2" spans="1:26" ht="15.75" customHeight="1" thickTop="1">
      <c r="A2" s="324"/>
      <c r="B2" s="324"/>
      <c r="C2" s="339"/>
      <c r="D2" s="340"/>
      <c r="E2" s="340"/>
      <c r="F2" s="340"/>
      <c r="G2" s="340"/>
      <c r="H2" s="340"/>
      <c r="I2" s="340"/>
      <c r="J2" s="340"/>
      <c r="K2" s="340"/>
      <c r="L2" s="340"/>
      <c r="M2" s="341"/>
      <c r="N2" s="324"/>
      <c r="O2" s="623" t="s">
        <v>294</v>
      </c>
      <c r="P2" s="1"/>
      <c r="Q2" s="1"/>
      <c r="R2" s="1"/>
      <c r="S2" s="1"/>
      <c r="T2" s="1"/>
      <c r="U2" s="1"/>
      <c r="V2" s="1"/>
      <c r="W2" s="1"/>
      <c r="X2" s="1"/>
      <c r="Y2" s="1"/>
      <c r="Z2" s="1"/>
    </row>
    <row r="3" spans="1:26" ht="12.75">
      <c r="A3" s="324"/>
      <c r="B3" s="324"/>
      <c r="C3" s="342"/>
      <c r="D3" s="343"/>
      <c r="E3" s="343"/>
      <c r="F3" s="328"/>
      <c r="G3" s="328"/>
      <c r="H3" s="328"/>
      <c r="I3" s="328"/>
      <c r="J3" s="328"/>
      <c r="K3" s="328"/>
      <c r="L3" s="328"/>
      <c r="M3" s="344"/>
      <c r="N3" s="324"/>
      <c r="O3" s="623" t="s">
        <v>295</v>
      </c>
      <c r="P3" s="1"/>
      <c r="Q3" s="1"/>
      <c r="R3" s="1"/>
      <c r="S3" s="1"/>
      <c r="T3" s="1"/>
      <c r="U3" s="1"/>
      <c r="V3" s="1"/>
      <c r="W3" s="1"/>
      <c r="X3" s="1"/>
      <c r="Y3" s="1"/>
      <c r="Z3" s="1"/>
    </row>
    <row r="4" spans="1:26" ht="23.25">
      <c r="A4" s="324"/>
      <c r="B4" s="324"/>
      <c r="C4" s="345"/>
      <c r="D4" s="346"/>
      <c r="E4" s="347"/>
      <c r="F4" s="347"/>
      <c r="G4" s="347"/>
      <c r="H4" s="348"/>
      <c r="I4" s="347"/>
      <c r="J4" s="347"/>
      <c r="K4" s="347"/>
      <c r="L4" s="347"/>
      <c r="M4" s="349"/>
      <c r="N4" s="324"/>
      <c r="O4" s="623" t="s">
        <v>329</v>
      </c>
      <c r="P4" s="1"/>
      <c r="Q4" s="1"/>
      <c r="R4" s="1"/>
      <c r="S4" s="1"/>
      <c r="T4" s="1"/>
      <c r="U4" s="1"/>
      <c r="V4" s="1"/>
      <c r="W4" s="1"/>
      <c r="X4" s="1"/>
      <c r="Y4" s="1"/>
      <c r="Z4" s="1"/>
    </row>
    <row r="5" spans="1:26" ht="20.25">
      <c r="A5" s="324"/>
      <c r="B5" s="324"/>
      <c r="C5" s="350" t="s">
        <v>206</v>
      </c>
      <c r="D5" s="351"/>
      <c r="E5" s="351"/>
      <c r="F5" s="351"/>
      <c r="G5" s="351"/>
      <c r="H5" s="352"/>
      <c r="I5" s="351"/>
      <c r="J5" s="351"/>
      <c r="K5" s="351"/>
      <c r="L5" s="351"/>
      <c r="M5" s="353"/>
      <c r="N5" s="324"/>
      <c r="O5" s="623" t="s">
        <v>296</v>
      </c>
      <c r="P5" s="1"/>
      <c r="Q5" s="1"/>
      <c r="R5" s="1"/>
      <c r="S5" s="1"/>
      <c r="T5" s="1"/>
      <c r="U5" s="1"/>
      <c r="V5" s="1"/>
      <c r="W5" s="1"/>
      <c r="X5" s="1"/>
      <c r="Y5" s="1"/>
      <c r="Z5" s="1"/>
    </row>
    <row r="6" spans="1:26" ht="23.25">
      <c r="A6" s="324"/>
      <c r="B6" s="324"/>
      <c r="C6" s="345"/>
      <c r="D6" s="347"/>
      <c r="E6" s="347"/>
      <c r="F6" s="347"/>
      <c r="G6" s="347"/>
      <c r="H6" s="348"/>
      <c r="I6" s="347"/>
      <c r="J6" s="347"/>
      <c r="K6" s="347"/>
      <c r="L6" s="347"/>
      <c r="M6" s="349"/>
      <c r="N6" s="324"/>
      <c r="O6" s="623" t="s">
        <v>297</v>
      </c>
      <c r="P6" s="1"/>
      <c r="Q6" s="1"/>
      <c r="R6" s="1"/>
      <c r="S6" s="1"/>
      <c r="T6" s="1"/>
      <c r="U6" s="1"/>
      <c r="V6" s="1"/>
      <c r="W6" s="1"/>
      <c r="X6" s="1"/>
      <c r="Y6" s="1"/>
      <c r="Z6" s="1"/>
    </row>
    <row r="7" spans="1:26" ht="18">
      <c r="A7" s="324"/>
      <c r="B7" s="324"/>
      <c r="C7" s="342"/>
      <c r="D7" s="328"/>
      <c r="E7" s="328"/>
      <c r="F7" s="328"/>
      <c r="G7" s="328"/>
      <c r="H7" s="574" t="s">
        <v>221</v>
      </c>
      <c r="I7" s="328"/>
      <c r="J7" s="328"/>
      <c r="K7" s="328"/>
      <c r="L7" s="328"/>
      <c r="M7" s="344"/>
      <c r="N7" s="324"/>
      <c r="O7" s="623" t="s">
        <v>298</v>
      </c>
      <c r="P7" s="1"/>
      <c r="Q7" s="1"/>
      <c r="R7" s="1"/>
      <c r="S7" s="1"/>
      <c r="T7" s="1"/>
      <c r="U7" s="1"/>
      <c r="V7" s="1"/>
      <c r="W7" s="1"/>
      <c r="X7" s="1"/>
      <c r="Y7" s="1"/>
      <c r="Z7" s="1"/>
    </row>
    <row r="8" spans="1:26" ht="7.5" customHeight="1">
      <c r="A8" s="324"/>
      <c r="B8" s="324"/>
      <c r="C8" s="342"/>
      <c r="D8" s="328"/>
      <c r="E8" s="343"/>
      <c r="F8" s="328"/>
      <c r="G8" s="328"/>
      <c r="H8" s="354"/>
      <c r="I8" s="328"/>
      <c r="J8" s="328"/>
      <c r="K8" s="328"/>
      <c r="L8" s="328"/>
      <c r="M8" s="344"/>
      <c r="N8" s="324"/>
      <c r="O8" s="623" t="s">
        <v>299</v>
      </c>
      <c r="P8" s="1"/>
      <c r="Q8" s="1"/>
      <c r="R8" s="1"/>
      <c r="S8" s="1"/>
      <c r="T8" s="1"/>
      <c r="U8" s="1"/>
      <c r="V8" s="1"/>
      <c r="W8" s="1"/>
      <c r="X8" s="1"/>
      <c r="Y8" s="1"/>
      <c r="Z8" s="1"/>
    </row>
    <row r="9" spans="1:26" ht="18">
      <c r="A9" s="324"/>
      <c r="B9" s="324"/>
      <c r="C9" s="355" t="s">
        <v>119</v>
      </c>
      <c r="D9" s="347"/>
      <c r="E9" s="346"/>
      <c r="F9" s="347"/>
      <c r="G9" s="347"/>
      <c r="H9" s="356"/>
      <c r="I9" s="347"/>
      <c r="J9" s="347"/>
      <c r="K9" s="347"/>
      <c r="L9" s="347"/>
      <c r="M9" s="349"/>
      <c r="N9" s="324"/>
      <c r="O9" s="623" t="s">
        <v>300</v>
      </c>
      <c r="P9" s="1"/>
      <c r="Q9" s="1"/>
      <c r="R9" s="1"/>
      <c r="S9" s="1"/>
      <c r="T9" s="1"/>
      <c r="U9" s="1"/>
      <c r="V9" s="1"/>
      <c r="W9" s="1"/>
      <c r="X9" s="1"/>
      <c r="Y9" s="1"/>
      <c r="Z9" s="1"/>
    </row>
    <row r="10" spans="1:26" ht="15" customHeight="1">
      <c r="A10" s="324"/>
      <c r="B10" s="324"/>
      <c r="C10" s="342"/>
      <c r="D10" s="328"/>
      <c r="E10" s="343"/>
      <c r="F10" s="328"/>
      <c r="G10" s="328"/>
      <c r="H10" s="328"/>
      <c r="I10" s="328"/>
      <c r="J10" s="328"/>
      <c r="K10" s="328"/>
      <c r="L10" s="328"/>
      <c r="M10" s="344"/>
      <c r="N10" s="324"/>
      <c r="O10" s="623" t="s">
        <v>301</v>
      </c>
      <c r="P10" s="1"/>
      <c r="Q10" s="1"/>
      <c r="R10" s="1"/>
      <c r="S10" s="1"/>
      <c r="T10" s="1"/>
      <c r="U10" s="1"/>
      <c r="V10" s="1"/>
      <c r="W10" s="1"/>
      <c r="X10" s="1"/>
      <c r="Y10" s="1"/>
      <c r="Z10" s="1"/>
    </row>
    <row r="11" spans="1:26" ht="21" customHeight="1" thickBot="1">
      <c r="A11" s="324"/>
      <c r="B11" s="324"/>
      <c r="C11" s="357"/>
      <c r="D11" s="358"/>
      <c r="E11" s="358"/>
      <c r="F11" s="358"/>
      <c r="G11" s="358"/>
      <c r="H11" s="605"/>
      <c r="I11" s="358"/>
      <c r="J11" s="358"/>
      <c r="K11" s="358"/>
      <c r="L11" s="358"/>
      <c r="M11" s="359"/>
      <c r="N11" s="324"/>
      <c r="O11" s="623" t="s">
        <v>327</v>
      </c>
      <c r="P11" s="1"/>
      <c r="Q11" s="1"/>
      <c r="R11" s="1"/>
      <c r="S11" s="1"/>
      <c r="T11" s="1"/>
      <c r="U11" s="1"/>
      <c r="V11" s="1"/>
      <c r="W11" s="1"/>
      <c r="X11" s="1"/>
      <c r="Y11" s="1"/>
      <c r="Z11" s="1"/>
    </row>
    <row r="12" spans="1:26" ht="25.5" customHeight="1" thickTop="1">
      <c r="A12" s="324"/>
      <c r="B12" s="324"/>
      <c r="C12" s="325"/>
      <c r="D12" s="343"/>
      <c r="E12" s="328"/>
      <c r="F12" s="328"/>
      <c r="G12" s="328"/>
      <c r="H12" s="328"/>
      <c r="I12" s="328"/>
      <c r="J12" s="328"/>
      <c r="K12" s="1062" t="s">
        <v>244</v>
      </c>
      <c r="L12" s="1063"/>
      <c r="M12" s="329"/>
      <c r="N12" s="324"/>
      <c r="O12" s="623" t="s">
        <v>323</v>
      </c>
      <c r="P12" s="1"/>
      <c r="Q12" s="1"/>
      <c r="R12" s="1"/>
      <c r="S12" s="1"/>
      <c r="T12" s="1"/>
      <c r="U12" s="1"/>
      <c r="V12" s="1"/>
      <c r="W12" s="1"/>
      <c r="X12" s="1"/>
      <c r="Y12" s="1"/>
      <c r="Z12" s="1"/>
    </row>
    <row r="13" spans="1:26" ht="21" customHeight="1">
      <c r="A13" s="324"/>
      <c r="B13" s="324"/>
      <c r="C13" s="325"/>
      <c r="D13" s="360" t="s">
        <v>192</v>
      </c>
      <c r="E13" s="328"/>
      <c r="F13" s="328"/>
      <c r="G13" s="328"/>
      <c r="H13" s="604" t="s">
        <v>322</v>
      </c>
      <c r="I13" s="328"/>
      <c r="J13" s="328"/>
      <c r="K13" s="1062"/>
      <c r="L13" s="1063"/>
      <c r="M13" s="329"/>
      <c r="N13" s="324"/>
      <c r="O13" s="623" t="s">
        <v>302</v>
      </c>
      <c r="P13" s="1"/>
      <c r="Q13" s="1"/>
      <c r="R13" s="1"/>
      <c r="S13" s="1"/>
      <c r="T13" s="1"/>
      <c r="U13" s="1"/>
      <c r="V13" s="1"/>
      <c r="W13" s="1"/>
      <c r="X13" s="1"/>
      <c r="Y13" s="1"/>
      <c r="Z13" s="1"/>
    </row>
    <row r="14" spans="1:26" ht="21" customHeight="1">
      <c r="A14" s="324"/>
      <c r="B14" s="324"/>
      <c r="C14" s="325"/>
      <c r="D14" s="361"/>
      <c r="E14" s="328"/>
      <c r="F14" s="328"/>
      <c r="G14" s="328"/>
      <c r="H14" s="328"/>
      <c r="I14" s="328"/>
      <c r="J14" s="328"/>
      <c r="K14" s="1061" t="s">
        <v>243</v>
      </c>
      <c r="L14" s="1061"/>
      <c r="M14" s="329"/>
      <c r="N14" s="324"/>
      <c r="O14" s="623" t="s">
        <v>303</v>
      </c>
      <c r="P14" s="1"/>
      <c r="Q14" s="1"/>
      <c r="R14" s="1"/>
      <c r="S14" s="1"/>
      <c r="T14" s="1"/>
      <c r="U14" s="1"/>
      <c r="V14" s="1"/>
      <c r="W14" s="1"/>
      <c r="X14" s="1"/>
      <c r="Y14" s="1"/>
      <c r="Z14" s="1"/>
    </row>
    <row r="15" spans="1:26" ht="21" customHeight="1">
      <c r="A15" s="324"/>
      <c r="B15" s="324"/>
      <c r="C15" s="325"/>
      <c r="D15" s="338" t="s">
        <v>115</v>
      </c>
      <c r="E15" s="327"/>
      <c r="F15" s="328"/>
      <c r="G15" s="328"/>
      <c r="H15" s="328"/>
      <c r="I15" s="328"/>
      <c r="J15" s="328"/>
      <c r="K15" s="328"/>
      <c r="L15" s="328"/>
      <c r="M15" s="329"/>
      <c r="N15" s="324"/>
      <c r="O15" s="623" t="s">
        <v>304</v>
      </c>
      <c r="P15" s="1"/>
      <c r="Q15" s="1"/>
      <c r="R15" s="1"/>
      <c r="S15" s="1"/>
      <c r="T15" s="1"/>
      <c r="U15" s="1"/>
      <c r="V15" s="1"/>
      <c r="W15" s="1"/>
      <c r="X15" s="1"/>
      <c r="Y15" s="1"/>
      <c r="Z15" s="1"/>
    </row>
    <row r="16" spans="1:26" ht="21" customHeight="1">
      <c r="A16" s="324"/>
      <c r="B16" s="324"/>
      <c r="C16" s="325"/>
      <c r="D16" s="338" t="s">
        <v>148</v>
      </c>
      <c r="E16" s="327"/>
      <c r="F16" s="328"/>
      <c r="G16" s="328"/>
      <c r="H16" s="328"/>
      <c r="I16" s="328"/>
      <c r="J16" s="328"/>
      <c r="K16" s="328"/>
      <c r="L16" s="328"/>
      <c r="M16" s="329"/>
      <c r="N16" s="324"/>
      <c r="O16" s="623" t="s">
        <v>305</v>
      </c>
      <c r="P16" s="1"/>
      <c r="Q16" s="1"/>
      <c r="R16" s="1"/>
      <c r="S16" s="1"/>
      <c r="T16" s="1"/>
      <c r="U16" s="1"/>
      <c r="V16" s="1"/>
      <c r="W16" s="1"/>
      <c r="X16" s="1"/>
      <c r="Y16" s="1"/>
      <c r="Z16" s="1"/>
    </row>
    <row r="17" spans="1:26" ht="21" customHeight="1">
      <c r="A17" s="324"/>
      <c r="B17" s="324"/>
      <c r="C17" s="325"/>
      <c r="D17" s="338" t="s">
        <v>118</v>
      </c>
      <c r="E17" s="327"/>
      <c r="F17" s="328"/>
      <c r="G17" s="328"/>
      <c r="H17" s="328"/>
      <c r="I17" s="328"/>
      <c r="J17" s="328"/>
      <c r="K17" s="328"/>
      <c r="L17" s="328"/>
      <c r="M17" s="329"/>
      <c r="N17" s="324"/>
      <c r="O17" s="623" t="s">
        <v>306</v>
      </c>
      <c r="P17" s="1"/>
      <c r="Q17" s="1"/>
      <c r="R17" s="1"/>
      <c r="S17" s="1"/>
      <c r="T17" s="1"/>
      <c r="U17" s="1"/>
      <c r="V17" s="1"/>
      <c r="W17" s="1"/>
      <c r="X17" s="1"/>
      <c r="Y17" s="1"/>
      <c r="Z17" s="1"/>
    </row>
    <row r="18" spans="1:26" ht="21" customHeight="1">
      <c r="A18" s="324"/>
      <c r="B18" s="324"/>
      <c r="C18" s="325"/>
      <c r="D18" s="338" t="s">
        <v>149</v>
      </c>
      <c r="E18" s="327"/>
      <c r="F18" s="328"/>
      <c r="G18" s="328"/>
      <c r="H18" s="328"/>
      <c r="I18" s="328"/>
      <c r="J18" s="328"/>
      <c r="K18" s="328"/>
      <c r="L18" s="328"/>
      <c r="M18" s="329"/>
      <c r="N18" s="324"/>
      <c r="O18" s="623" t="s">
        <v>307</v>
      </c>
      <c r="P18" s="1"/>
      <c r="Q18" s="1"/>
      <c r="R18" s="1"/>
      <c r="S18" s="1"/>
      <c r="T18" s="1"/>
      <c r="U18" s="1"/>
      <c r="V18" s="1"/>
      <c r="W18" s="1"/>
      <c r="X18" s="1"/>
      <c r="Y18" s="1"/>
      <c r="Z18" s="1"/>
    </row>
    <row r="19" spans="1:26" ht="21" customHeight="1">
      <c r="A19" s="324"/>
      <c r="B19" s="324"/>
      <c r="C19" s="325"/>
      <c r="D19" s="338"/>
      <c r="E19" s="327"/>
      <c r="F19" s="328"/>
      <c r="G19" s="328"/>
      <c r="H19" s="328"/>
      <c r="I19" s="328"/>
      <c r="J19" s="328"/>
      <c r="K19" s="328"/>
      <c r="L19" s="328"/>
      <c r="M19" s="329"/>
      <c r="N19" s="324"/>
      <c r="O19" s="623" t="s">
        <v>308</v>
      </c>
      <c r="P19" s="1"/>
      <c r="Q19" s="1"/>
      <c r="R19" s="1"/>
      <c r="S19" s="1"/>
      <c r="T19" s="1"/>
      <c r="U19" s="1"/>
      <c r="V19" s="1"/>
      <c r="W19" s="1"/>
      <c r="X19" s="1"/>
      <c r="Y19" s="1"/>
      <c r="Z19" s="1"/>
    </row>
    <row r="20" spans="1:26" ht="21" customHeight="1">
      <c r="A20" s="324"/>
      <c r="B20" s="324"/>
      <c r="C20" s="325"/>
      <c r="D20" s="338" t="s">
        <v>78</v>
      </c>
      <c r="E20" s="327"/>
      <c r="F20" s="328"/>
      <c r="G20" s="328"/>
      <c r="H20" s="328"/>
      <c r="I20" s="328"/>
      <c r="J20" s="328"/>
      <c r="K20" s="328"/>
      <c r="L20" s="328"/>
      <c r="M20" s="329"/>
      <c r="N20" s="324"/>
      <c r="O20" s="623" t="s">
        <v>309</v>
      </c>
      <c r="P20" s="1"/>
      <c r="Q20" s="1"/>
      <c r="R20" s="1"/>
      <c r="S20" s="1"/>
      <c r="T20" s="1"/>
      <c r="U20" s="1"/>
      <c r="V20" s="1"/>
      <c r="W20" s="1"/>
      <c r="X20" s="1"/>
      <c r="Y20" s="1"/>
      <c r="Z20" s="1"/>
    </row>
    <row r="21" spans="1:26" ht="21" customHeight="1">
      <c r="A21" s="324"/>
      <c r="B21" s="324"/>
      <c r="C21" s="325"/>
      <c r="D21" s="338" t="s">
        <v>76</v>
      </c>
      <c r="E21" s="327"/>
      <c r="F21" s="328"/>
      <c r="G21" s="328"/>
      <c r="H21" s="328"/>
      <c r="I21" s="328"/>
      <c r="J21" s="328"/>
      <c r="K21" s="328"/>
      <c r="L21" s="328"/>
      <c r="M21" s="329"/>
      <c r="N21" s="324"/>
      <c r="O21" s="623" t="s">
        <v>310</v>
      </c>
      <c r="P21" s="1"/>
      <c r="Q21" s="1"/>
      <c r="R21" s="1"/>
      <c r="S21" s="1"/>
      <c r="T21" s="1"/>
      <c r="U21" s="1"/>
      <c r="V21" s="1"/>
      <c r="W21" s="1"/>
      <c r="X21" s="1"/>
      <c r="Y21" s="1"/>
      <c r="Z21" s="1"/>
    </row>
    <row r="22" spans="1:26" ht="21" customHeight="1">
      <c r="A22" s="324"/>
      <c r="B22" s="324"/>
      <c r="C22" s="325"/>
      <c r="D22" s="338" t="s">
        <v>116</v>
      </c>
      <c r="E22" s="327"/>
      <c r="F22" s="328"/>
      <c r="G22" s="328"/>
      <c r="H22" s="328"/>
      <c r="I22" s="328"/>
      <c r="J22" s="328"/>
      <c r="K22" s="328"/>
      <c r="L22" s="328"/>
      <c r="M22" s="329"/>
      <c r="N22" s="324"/>
      <c r="O22" s="623" t="s">
        <v>311</v>
      </c>
      <c r="P22" s="1"/>
      <c r="Q22" s="1"/>
      <c r="R22" s="1"/>
      <c r="S22" s="1"/>
      <c r="T22" s="1"/>
      <c r="U22" s="1"/>
      <c r="V22" s="1"/>
      <c r="W22" s="1"/>
      <c r="X22" s="1"/>
      <c r="Y22" s="1"/>
      <c r="Z22" s="1"/>
    </row>
    <row r="23" spans="1:26" ht="21" customHeight="1">
      <c r="A23" s="324"/>
      <c r="B23" s="324"/>
      <c r="C23" s="325"/>
      <c r="D23" s="338" t="s">
        <v>117</v>
      </c>
      <c r="E23" s="327"/>
      <c r="F23" s="328"/>
      <c r="G23" s="328"/>
      <c r="H23" s="328"/>
      <c r="I23" s="328"/>
      <c r="J23" s="328"/>
      <c r="K23" s="328"/>
      <c r="L23" s="328"/>
      <c r="M23" s="329"/>
      <c r="N23" s="324"/>
      <c r="O23" s="623" t="s">
        <v>312</v>
      </c>
      <c r="P23" s="1"/>
      <c r="Q23" s="1"/>
      <c r="R23" s="1"/>
      <c r="S23" s="1"/>
      <c r="T23" s="1"/>
      <c r="U23" s="1"/>
      <c r="V23" s="1"/>
      <c r="W23" s="1"/>
      <c r="X23" s="1"/>
      <c r="Y23" s="1"/>
      <c r="Z23" s="1"/>
    </row>
    <row r="24" spans="1:26" ht="21" customHeight="1">
      <c r="A24" s="324"/>
      <c r="B24" s="324"/>
      <c r="C24" s="325"/>
      <c r="D24" s="338"/>
      <c r="E24" s="327"/>
      <c r="F24" s="328"/>
      <c r="G24" s="328"/>
      <c r="H24" s="328"/>
      <c r="I24" s="328"/>
      <c r="J24" s="328"/>
      <c r="K24" s="328"/>
      <c r="L24" s="328"/>
      <c r="M24" s="329"/>
      <c r="N24" s="324"/>
      <c r="O24" s="623" t="s">
        <v>291</v>
      </c>
      <c r="P24" s="1"/>
      <c r="Q24" s="1"/>
      <c r="R24" s="1"/>
      <c r="S24" s="1"/>
      <c r="T24" s="1"/>
      <c r="U24" s="1"/>
      <c r="V24" s="1"/>
      <c r="W24" s="1"/>
      <c r="X24" s="1"/>
      <c r="Y24" s="1"/>
      <c r="Z24" s="1"/>
    </row>
    <row r="25" spans="1:26" ht="21" customHeight="1">
      <c r="A25" s="324"/>
      <c r="B25" s="324"/>
      <c r="C25" s="325"/>
      <c r="D25" s="338" t="s">
        <v>213</v>
      </c>
      <c r="E25" s="327"/>
      <c r="F25" s="328"/>
      <c r="G25" s="328"/>
      <c r="H25" s="328"/>
      <c r="I25" s="328"/>
      <c r="J25" s="328"/>
      <c r="K25" s="455" t="s">
        <v>169</v>
      </c>
      <c r="L25" s="328"/>
      <c r="M25" s="329"/>
      <c r="N25" s="324"/>
      <c r="O25" s="623" t="s">
        <v>313</v>
      </c>
      <c r="P25" s="1"/>
      <c r="Q25" s="1"/>
      <c r="R25" s="1"/>
      <c r="S25" s="1"/>
      <c r="T25" s="1"/>
      <c r="U25" s="1"/>
      <c r="V25" s="1"/>
      <c r="W25" s="1"/>
      <c r="X25" s="1"/>
      <c r="Y25" s="1"/>
      <c r="Z25" s="1"/>
    </row>
    <row r="26" spans="1:26" ht="21" customHeight="1">
      <c r="A26" s="324"/>
      <c r="B26" s="324"/>
      <c r="C26" s="325"/>
      <c r="D26" s="338" t="s">
        <v>170</v>
      </c>
      <c r="E26" s="327"/>
      <c r="F26" s="328"/>
      <c r="G26" s="328"/>
      <c r="H26" s="328"/>
      <c r="I26" s="328"/>
      <c r="J26" s="328"/>
      <c r="K26" s="328"/>
      <c r="L26" s="328"/>
      <c r="M26" s="329"/>
      <c r="N26" s="324"/>
      <c r="O26" s="623" t="s">
        <v>314</v>
      </c>
      <c r="P26" s="1"/>
      <c r="Q26" s="1"/>
      <c r="R26" s="1"/>
      <c r="S26" s="1"/>
      <c r="T26" s="1"/>
      <c r="U26" s="1"/>
      <c r="V26" s="1"/>
      <c r="W26" s="1"/>
      <c r="X26" s="1"/>
      <c r="Y26" s="1"/>
      <c r="Z26" s="1"/>
    </row>
    <row r="27" spans="1:26" ht="21" customHeight="1">
      <c r="A27" s="324"/>
      <c r="B27" s="324"/>
      <c r="C27" s="325"/>
      <c r="D27" s="338"/>
      <c r="E27" s="327"/>
      <c r="F27" s="328"/>
      <c r="G27" s="328"/>
      <c r="H27" s="328"/>
      <c r="I27" s="328"/>
      <c r="J27" s="328"/>
      <c r="K27" s="455" t="s">
        <v>165</v>
      </c>
      <c r="L27" s="328"/>
      <c r="M27" s="329"/>
      <c r="N27" s="324"/>
      <c r="O27" s="623" t="s">
        <v>315</v>
      </c>
      <c r="P27" s="1"/>
      <c r="Q27" s="1"/>
      <c r="R27" s="1"/>
      <c r="S27" s="1"/>
      <c r="T27" s="1"/>
      <c r="U27" s="1"/>
      <c r="V27" s="1"/>
      <c r="W27" s="1"/>
      <c r="X27" s="1"/>
      <c r="Y27" s="1"/>
      <c r="Z27" s="1"/>
    </row>
    <row r="28" spans="1:26" ht="21" customHeight="1">
      <c r="A28" s="324"/>
      <c r="B28" s="324"/>
      <c r="C28" s="325"/>
      <c r="D28" s="338" t="s">
        <v>292</v>
      </c>
      <c r="E28" s="327"/>
      <c r="F28" s="328"/>
      <c r="G28" s="328"/>
      <c r="H28" s="328"/>
      <c r="I28" s="328"/>
      <c r="J28" s="328"/>
      <c r="K28" s="328"/>
      <c r="L28" s="328"/>
      <c r="M28" s="329"/>
      <c r="N28" s="324"/>
      <c r="O28" s="623" t="s">
        <v>316</v>
      </c>
      <c r="P28" s="1"/>
      <c r="Q28" s="1"/>
      <c r="R28" s="1"/>
      <c r="S28" s="1"/>
      <c r="T28" s="1"/>
      <c r="U28" s="1"/>
      <c r="V28" s="1"/>
      <c r="W28" s="1"/>
      <c r="X28" s="1"/>
      <c r="Y28" s="1"/>
      <c r="Z28" s="1"/>
    </row>
    <row r="29" spans="1:26" ht="21" customHeight="1">
      <c r="A29" s="324"/>
      <c r="B29" s="324"/>
      <c r="C29" s="325"/>
      <c r="D29" s="338" t="s">
        <v>293</v>
      </c>
      <c r="E29" s="622" t="s">
        <v>330</v>
      </c>
      <c r="F29" s="328"/>
      <c r="G29" s="328"/>
      <c r="H29" s="328"/>
      <c r="I29" s="328"/>
      <c r="J29" s="328"/>
      <c r="K29" s="328"/>
      <c r="L29" s="328"/>
      <c r="M29" s="329"/>
      <c r="N29" s="324"/>
      <c r="O29" s="623" t="s">
        <v>317</v>
      </c>
      <c r="P29" s="1"/>
      <c r="Q29" s="1"/>
      <c r="R29" s="1"/>
      <c r="S29" s="1"/>
      <c r="T29" s="1"/>
      <c r="U29" s="1"/>
      <c r="V29" s="1"/>
      <c r="W29" s="1"/>
      <c r="X29" s="1"/>
      <c r="Y29" s="1"/>
      <c r="Z29" s="1"/>
    </row>
    <row r="30" spans="1:26" ht="21" customHeight="1" thickBot="1">
      <c r="A30" s="324"/>
      <c r="B30" s="324"/>
      <c r="C30" s="325"/>
      <c r="D30" s="337"/>
      <c r="E30" s="327"/>
      <c r="F30" s="328"/>
      <c r="G30" s="328"/>
      <c r="H30" s="328"/>
      <c r="I30" s="328"/>
      <c r="J30" s="328"/>
      <c r="K30" s="328"/>
      <c r="L30" s="328"/>
      <c r="M30" s="329"/>
      <c r="N30" s="324"/>
      <c r="O30" s="623" t="s">
        <v>324</v>
      </c>
      <c r="P30" s="1"/>
      <c r="Q30" s="1"/>
      <c r="R30" s="1"/>
      <c r="S30" s="1"/>
      <c r="T30" s="1"/>
      <c r="U30" s="1"/>
      <c r="V30" s="1"/>
      <c r="W30" s="1"/>
      <c r="X30" s="1"/>
      <c r="Y30" s="1"/>
      <c r="Z30" s="1"/>
    </row>
    <row r="31" spans="1:26" ht="21" customHeight="1" thickBot="1" thickTop="1">
      <c r="A31" s="324"/>
      <c r="B31" s="324"/>
      <c r="C31" s="325"/>
      <c r="D31" s="326" t="s">
        <v>80</v>
      </c>
      <c r="E31" s="327"/>
      <c r="F31" s="328"/>
      <c r="G31" s="328"/>
      <c r="H31" s="1064" t="s">
        <v>294</v>
      </c>
      <c r="I31" s="1065"/>
      <c r="J31" s="1065"/>
      <c r="K31" s="1065"/>
      <c r="L31" s="1066"/>
      <c r="M31" s="329"/>
      <c r="N31" s="324"/>
      <c r="O31" s="623" t="s">
        <v>318</v>
      </c>
      <c r="P31" s="1"/>
      <c r="Q31" s="1"/>
      <c r="R31" s="1"/>
      <c r="S31" s="1"/>
      <c r="T31" s="1"/>
      <c r="U31" s="1"/>
      <c r="V31" s="1"/>
      <c r="W31" s="1"/>
      <c r="X31" s="1"/>
      <c r="Y31" s="1"/>
      <c r="Z31" s="1"/>
    </row>
    <row r="32" spans="1:26" ht="21" customHeight="1" thickTop="1">
      <c r="A32" s="324"/>
      <c r="B32" s="324"/>
      <c r="C32" s="325"/>
      <c r="D32" s="326" t="s">
        <v>81</v>
      </c>
      <c r="E32" s="327"/>
      <c r="F32" s="328"/>
      <c r="G32" s="328"/>
      <c r="H32" s="328"/>
      <c r="I32" s="328"/>
      <c r="J32" s="328"/>
      <c r="K32" s="328"/>
      <c r="L32" s="328"/>
      <c r="M32" s="329"/>
      <c r="N32" s="324"/>
      <c r="O32" s="623" t="s">
        <v>328</v>
      </c>
      <c r="P32" s="1"/>
      <c r="Q32" s="1"/>
      <c r="R32" s="1"/>
      <c r="S32" s="1"/>
      <c r="T32" s="1"/>
      <c r="U32" s="1"/>
      <c r="V32" s="1"/>
      <c r="W32" s="1"/>
      <c r="X32" s="1"/>
      <c r="Y32" s="1"/>
      <c r="Z32" s="1"/>
    </row>
    <row r="33" spans="1:26" ht="21" customHeight="1">
      <c r="A33" s="324"/>
      <c r="B33" s="324"/>
      <c r="C33" s="325"/>
      <c r="D33" s="624" t="str">
        <f>IF($H$31=$O$2,"   **UNAUTHORISED USER!  THIS DOCUMENT WILL NOT CALCULATE ACCURATELY**",0)</f>
        <v>   **UNAUTHORISED USER!  THIS DOCUMENT WILL NOT CALCULATE ACCURATELY**</v>
      </c>
      <c r="E33" s="327"/>
      <c r="F33" s="328"/>
      <c r="G33" s="328"/>
      <c r="H33" s="328"/>
      <c r="I33" s="328"/>
      <c r="J33" s="328"/>
      <c r="K33" s="328"/>
      <c r="L33" s="328"/>
      <c r="M33" s="329"/>
      <c r="N33" s="324"/>
      <c r="O33" s="623" t="s">
        <v>325</v>
      </c>
      <c r="P33" s="1"/>
      <c r="Q33" s="1"/>
      <c r="R33" s="1"/>
      <c r="S33" s="1"/>
      <c r="T33" s="1"/>
      <c r="U33" s="1"/>
      <c r="V33" s="1"/>
      <c r="W33" s="1"/>
      <c r="X33" s="1"/>
      <c r="Y33" s="1"/>
      <c r="Z33" s="1"/>
    </row>
    <row r="34" spans="1:26" ht="27" customHeight="1">
      <c r="A34" s="324"/>
      <c r="B34" s="324"/>
      <c r="C34" s="325"/>
      <c r="E34" s="327"/>
      <c r="F34" s="328"/>
      <c r="G34" s="328"/>
      <c r="H34" s="330"/>
      <c r="I34" s="328"/>
      <c r="J34" s="328"/>
      <c r="K34" s="328"/>
      <c r="L34" s="331">
        <f>IF($Z$67=0,"INVALID ORGANISATION NAME… DOCUMENT WILL NOT CALCULATE ACCURATELY.  PLEASE TRY AGAIN.",0)</f>
        <v>0</v>
      </c>
      <c r="M34" s="329"/>
      <c r="N34" s="324"/>
      <c r="O34" s="623"/>
      <c r="P34" s="1"/>
      <c r="Q34" s="1"/>
      <c r="R34" s="1"/>
      <c r="S34" s="1"/>
      <c r="T34" s="1"/>
      <c r="U34" s="1"/>
      <c r="V34" s="1"/>
      <c r="W34" s="1"/>
      <c r="X34" s="1"/>
      <c r="Y34" s="1"/>
      <c r="Z34" s="1"/>
    </row>
    <row r="35" spans="1:26" ht="25.5" customHeight="1">
      <c r="A35" s="324"/>
      <c r="B35" s="324"/>
      <c r="C35" s="325"/>
      <c r="D35" s="332" t="s">
        <v>166</v>
      </c>
      <c r="E35" s="333"/>
      <c r="F35" s="328"/>
      <c r="G35" s="328"/>
      <c r="H35" s="328"/>
      <c r="I35" s="328"/>
      <c r="J35" s="328"/>
      <c r="K35" s="328"/>
      <c r="L35" s="328"/>
      <c r="M35" s="329"/>
      <c r="N35" s="324"/>
      <c r="O35" s="623"/>
      <c r="P35" s="1"/>
      <c r="Q35" s="1"/>
      <c r="R35" s="1"/>
      <c r="S35" s="1"/>
      <c r="T35" s="1"/>
      <c r="U35" s="1"/>
      <c r="V35" s="1"/>
      <c r="W35" s="1"/>
      <c r="X35" s="1"/>
      <c r="Y35" s="1"/>
      <c r="Z35" s="1"/>
    </row>
    <row r="36" spans="1:26" ht="21" customHeight="1" thickBot="1">
      <c r="A36" s="324"/>
      <c r="B36" s="324"/>
      <c r="C36" s="334"/>
      <c r="D36" s="335"/>
      <c r="E36" s="335"/>
      <c r="F36" s="335"/>
      <c r="G36" s="335"/>
      <c r="H36" s="335"/>
      <c r="I36" s="335"/>
      <c r="J36" s="335"/>
      <c r="K36" s="335"/>
      <c r="L36" s="335"/>
      <c r="M36" s="336"/>
      <c r="N36" s="324"/>
      <c r="O36" s="623"/>
      <c r="P36" s="1"/>
      <c r="Q36" s="1"/>
      <c r="R36" s="1"/>
      <c r="S36" s="1"/>
      <c r="T36" s="1"/>
      <c r="U36" s="1"/>
      <c r="V36" s="1"/>
      <c r="W36" s="1"/>
      <c r="X36" s="1"/>
      <c r="Y36" s="1"/>
      <c r="Z36" s="1"/>
    </row>
    <row r="37" spans="1:26" ht="12.75">
      <c r="A37" s="324"/>
      <c r="B37" s="324"/>
      <c r="C37" s="324"/>
      <c r="D37" s="324"/>
      <c r="E37" s="324"/>
      <c r="F37" s="324"/>
      <c r="G37" s="324"/>
      <c r="H37" s="324"/>
      <c r="I37" s="324"/>
      <c r="J37" s="324"/>
      <c r="K37" s="324"/>
      <c r="L37" s="324"/>
      <c r="M37" s="324"/>
      <c r="N37" s="324"/>
      <c r="O37" s="623"/>
      <c r="P37" s="1"/>
      <c r="Q37" s="1"/>
      <c r="R37" s="1"/>
      <c r="S37" s="1"/>
      <c r="T37" s="1"/>
      <c r="U37" s="1"/>
      <c r="V37" s="1"/>
      <c r="W37" s="1"/>
      <c r="X37" s="1"/>
      <c r="Y37" s="1"/>
      <c r="Z37" s="1"/>
    </row>
    <row r="38" spans="1:26" ht="12.75">
      <c r="A38" s="324"/>
      <c r="B38" s="324"/>
      <c r="C38" s="324"/>
      <c r="D38" s="324"/>
      <c r="E38" s="324"/>
      <c r="F38" s="324"/>
      <c r="G38" s="324"/>
      <c r="H38" s="324"/>
      <c r="I38" s="324"/>
      <c r="J38" s="324"/>
      <c r="K38" s="324"/>
      <c r="L38" s="324"/>
      <c r="M38" s="324"/>
      <c r="N38" s="324"/>
      <c r="O38" s="623"/>
      <c r="P38" s="1"/>
      <c r="Q38" s="1"/>
      <c r="R38" s="1"/>
      <c r="S38" s="1"/>
      <c r="T38" s="1"/>
      <c r="U38" s="1"/>
      <c r="V38" s="1"/>
      <c r="W38" s="1"/>
      <c r="X38" s="1"/>
      <c r="Y38" s="1"/>
      <c r="Z38" s="1"/>
    </row>
    <row r="39" spans="1:26" ht="12.75">
      <c r="A39" s="324"/>
      <c r="B39" s="324"/>
      <c r="C39" s="324"/>
      <c r="D39" s="324"/>
      <c r="E39" s="324"/>
      <c r="F39" s="324"/>
      <c r="G39" s="324"/>
      <c r="H39" s="324"/>
      <c r="I39" s="324"/>
      <c r="J39" s="324"/>
      <c r="K39" s="324"/>
      <c r="L39" s="324"/>
      <c r="M39" s="324"/>
      <c r="N39" s="324"/>
      <c r="O39" s="623"/>
      <c r="P39" s="1"/>
      <c r="Q39" s="1"/>
      <c r="R39" s="1"/>
      <c r="S39" s="1"/>
      <c r="T39" s="1"/>
      <c r="U39" s="1"/>
      <c r="V39" s="1"/>
      <c r="W39" s="1"/>
      <c r="X39" s="1"/>
      <c r="Y39" s="1"/>
      <c r="Z39" s="1"/>
    </row>
    <row r="40" spans="1:26" ht="12.75">
      <c r="A40" s="324"/>
      <c r="B40" s="324"/>
      <c r="C40" s="324"/>
      <c r="D40" s="324"/>
      <c r="E40" s="324"/>
      <c r="F40" s="324"/>
      <c r="G40" s="324"/>
      <c r="H40" s="324"/>
      <c r="I40" s="324"/>
      <c r="J40" s="324"/>
      <c r="K40" s="324"/>
      <c r="L40" s="324"/>
      <c r="M40" s="324"/>
      <c r="N40" s="324"/>
      <c r="O40" s="623"/>
      <c r="P40" s="1"/>
      <c r="Q40" s="1"/>
      <c r="R40" s="1"/>
      <c r="S40" s="1"/>
      <c r="T40" s="1"/>
      <c r="U40" s="1"/>
      <c r="V40" s="1"/>
      <c r="W40" s="1"/>
      <c r="X40" s="1"/>
      <c r="Y40" s="1"/>
      <c r="Z40" s="1"/>
    </row>
    <row r="41" spans="1:26" ht="12.75">
      <c r="A41" s="1"/>
      <c r="B41" s="1"/>
      <c r="C41" s="1"/>
      <c r="D41" s="1"/>
      <c r="E41" s="1"/>
      <c r="F41" s="1"/>
      <c r="G41" s="1"/>
      <c r="H41" s="1"/>
      <c r="I41" s="1"/>
      <c r="J41" s="1"/>
      <c r="K41" s="1"/>
      <c r="L41" s="1"/>
      <c r="M41" s="1"/>
      <c r="N41" s="1"/>
      <c r="O41" s="623"/>
      <c r="P41" s="1"/>
      <c r="Q41" s="1"/>
      <c r="R41" s="1"/>
      <c r="S41" s="1"/>
      <c r="T41" s="1"/>
      <c r="U41" s="1"/>
      <c r="V41" s="1"/>
      <c r="W41" s="1"/>
      <c r="X41" s="1"/>
      <c r="Y41" s="1"/>
      <c r="Z41" s="1"/>
    </row>
    <row r="42" spans="1:26" ht="12.75">
      <c r="A42" s="1"/>
      <c r="B42" s="1"/>
      <c r="C42" s="1"/>
      <c r="D42" s="1"/>
      <c r="E42" s="1"/>
      <c r="F42" s="1"/>
      <c r="G42" s="1"/>
      <c r="H42" s="1"/>
      <c r="I42" s="1"/>
      <c r="J42" s="1"/>
      <c r="K42" s="1"/>
      <c r="L42" s="1"/>
      <c r="M42" s="1"/>
      <c r="N42" s="1"/>
      <c r="O42" s="623"/>
      <c r="P42" s="1"/>
      <c r="Q42" s="1"/>
      <c r="R42" s="1"/>
      <c r="S42" s="1"/>
      <c r="T42" s="1"/>
      <c r="U42" s="1"/>
      <c r="V42" s="1"/>
      <c r="W42" s="1"/>
      <c r="X42" s="1"/>
      <c r="Y42" s="1"/>
      <c r="Z42" s="1"/>
    </row>
    <row r="43" spans="1:26" ht="12.75">
      <c r="A43" s="1"/>
      <c r="B43" s="1"/>
      <c r="C43" s="1"/>
      <c r="D43" s="1"/>
      <c r="E43" s="1"/>
      <c r="F43" s="1"/>
      <c r="G43" s="1"/>
      <c r="H43" s="1"/>
      <c r="I43" s="1"/>
      <c r="J43" s="1"/>
      <c r="K43" s="1"/>
      <c r="L43" s="1"/>
      <c r="M43" s="1"/>
      <c r="N43" s="1"/>
      <c r="O43" s="623"/>
      <c r="P43" s="1"/>
      <c r="Q43" s="1"/>
      <c r="R43" s="1"/>
      <c r="S43" s="1"/>
      <c r="T43" s="1"/>
      <c r="U43" s="1"/>
      <c r="V43" s="1"/>
      <c r="W43" s="1"/>
      <c r="X43" s="1"/>
      <c r="Y43" s="1"/>
      <c r="Z43" s="1"/>
    </row>
    <row r="44" spans="1:26" ht="12.75">
      <c r="A44" s="1"/>
      <c r="B44" s="1"/>
      <c r="C44" s="1"/>
      <c r="D44" s="1"/>
      <c r="E44" s="1"/>
      <c r="F44" s="1"/>
      <c r="G44" s="1"/>
      <c r="H44" s="1"/>
      <c r="I44" s="1"/>
      <c r="J44" s="1"/>
      <c r="K44" s="1"/>
      <c r="L44" s="1"/>
      <c r="M44" s="1"/>
      <c r="N44" s="1"/>
      <c r="O44" s="623"/>
      <c r="P44" s="1"/>
      <c r="Q44" s="1"/>
      <c r="R44" s="1"/>
      <c r="S44" s="1"/>
      <c r="T44" s="1"/>
      <c r="U44" s="1"/>
      <c r="V44" s="1"/>
      <c r="W44" s="1"/>
      <c r="X44" s="1"/>
      <c r="Y44" s="1"/>
      <c r="Z44" s="1"/>
    </row>
    <row r="45" spans="1:26" ht="12.75">
      <c r="A45" s="1"/>
      <c r="B45" s="1"/>
      <c r="C45" s="1"/>
      <c r="D45" s="1"/>
      <c r="E45" s="1"/>
      <c r="F45" s="1"/>
      <c r="G45" s="1"/>
      <c r="H45" s="1"/>
      <c r="I45" s="1"/>
      <c r="J45" s="1"/>
      <c r="K45" s="1"/>
      <c r="L45" s="1"/>
      <c r="M45" s="1"/>
      <c r="N45" s="1"/>
      <c r="O45" s="623"/>
      <c r="P45" s="1"/>
      <c r="Q45" s="1"/>
      <c r="R45" s="1"/>
      <c r="S45" s="1"/>
      <c r="T45" s="1"/>
      <c r="U45" s="1"/>
      <c r="V45" s="1"/>
      <c r="W45" s="1"/>
      <c r="X45" s="1"/>
      <c r="Y45" s="1"/>
      <c r="Z45" s="1"/>
    </row>
    <row r="46" spans="1:26" ht="12.75">
      <c r="A46" s="1"/>
      <c r="B46" s="1"/>
      <c r="C46" s="1"/>
      <c r="D46" s="1"/>
      <c r="E46" s="1"/>
      <c r="F46" s="1"/>
      <c r="G46" s="1"/>
      <c r="H46" s="1"/>
      <c r="I46" s="1"/>
      <c r="J46" s="1"/>
      <c r="K46" s="1"/>
      <c r="L46" s="1"/>
      <c r="M46" s="1"/>
      <c r="N46" s="1"/>
      <c r="O46" s="623"/>
      <c r="P46" s="1"/>
      <c r="Q46" s="1"/>
      <c r="R46" s="1"/>
      <c r="S46" s="1"/>
      <c r="T46" s="1"/>
      <c r="U46" s="1"/>
      <c r="V46" s="1"/>
      <c r="W46" s="1"/>
      <c r="X46" s="1"/>
      <c r="Y46" s="1"/>
      <c r="Z46" s="1"/>
    </row>
    <row r="47" spans="1:26" ht="12.75">
      <c r="A47" s="1"/>
      <c r="B47" s="1"/>
      <c r="C47" s="1"/>
      <c r="D47" s="1"/>
      <c r="E47" s="1"/>
      <c r="F47" s="1"/>
      <c r="G47" s="1"/>
      <c r="H47" s="1"/>
      <c r="I47" s="1"/>
      <c r="J47" s="1"/>
      <c r="K47" s="1"/>
      <c r="L47" s="1"/>
      <c r="M47" s="1"/>
      <c r="N47" s="1"/>
      <c r="O47" s="623"/>
      <c r="P47" s="1"/>
      <c r="Q47" s="1"/>
      <c r="R47" s="1"/>
      <c r="S47" s="1"/>
      <c r="T47" s="1"/>
      <c r="U47" s="1"/>
      <c r="V47" s="1"/>
      <c r="W47" s="1"/>
      <c r="X47" s="1"/>
      <c r="Y47" s="1"/>
      <c r="Z47" s="1"/>
    </row>
    <row r="48" spans="1:26" ht="12.75">
      <c r="A48" s="1"/>
      <c r="B48" s="1"/>
      <c r="C48" s="1"/>
      <c r="D48" s="1"/>
      <c r="E48" s="1"/>
      <c r="F48" s="1"/>
      <c r="G48" s="1"/>
      <c r="H48" s="1"/>
      <c r="I48" s="1"/>
      <c r="J48" s="1"/>
      <c r="K48" s="1"/>
      <c r="L48" s="1"/>
      <c r="M48" s="1"/>
      <c r="N48" s="1"/>
      <c r="O48" s="623"/>
      <c r="P48" s="1"/>
      <c r="Q48" s="1"/>
      <c r="R48" s="1"/>
      <c r="S48" s="1"/>
      <c r="T48" s="1"/>
      <c r="U48" s="1"/>
      <c r="V48" s="1"/>
      <c r="W48" s="1"/>
      <c r="X48" s="1"/>
      <c r="Y48" s="1"/>
      <c r="Z48" s="1"/>
    </row>
    <row r="49" spans="1:26" ht="12.75">
      <c r="A49" s="1"/>
      <c r="B49" s="1"/>
      <c r="C49" s="1"/>
      <c r="D49" s="1"/>
      <c r="E49" s="1"/>
      <c r="F49" s="1"/>
      <c r="G49" s="1"/>
      <c r="H49" s="1"/>
      <c r="I49" s="1"/>
      <c r="J49" s="1"/>
      <c r="K49" s="1"/>
      <c r="L49" s="1"/>
      <c r="M49" s="1"/>
      <c r="N49" s="1"/>
      <c r="O49" s="623"/>
      <c r="P49" s="1"/>
      <c r="Q49" s="1"/>
      <c r="R49" s="1"/>
      <c r="S49" s="1"/>
      <c r="T49" s="1"/>
      <c r="U49" s="1"/>
      <c r="V49" s="1"/>
      <c r="W49" s="1"/>
      <c r="X49" s="1"/>
      <c r="Y49" s="1"/>
      <c r="Z49" s="1"/>
    </row>
    <row r="50" spans="1:26" ht="12.75">
      <c r="A50" s="1"/>
      <c r="B50" s="1"/>
      <c r="C50" s="1"/>
      <c r="D50" s="1"/>
      <c r="E50" s="1"/>
      <c r="F50" s="1"/>
      <c r="G50" s="1"/>
      <c r="H50" s="1"/>
      <c r="I50" s="1"/>
      <c r="J50" s="1"/>
      <c r="K50" s="1"/>
      <c r="L50" s="1"/>
      <c r="M50" s="1"/>
      <c r="N50" s="1"/>
      <c r="O50" s="623"/>
      <c r="P50" s="1"/>
      <c r="Q50" s="1"/>
      <c r="R50" s="1"/>
      <c r="S50" s="1"/>
      <c r="T50" s="1"/>
      <c r="U50" s="1"/>
      <c r="V50" s="1"/>
      <c r="W50" s="1"/>
      <c r="X50" s="1"/>
      <c r="Y50" s="1"/>
      <c r="Z50" s="1"/>
    </row>
    <row r="51" spans="1:26" ht="12.75">
      <c r="A51" s="1"/>
      <c r="B51" s="1"/>
      <c r="C51" s="1"/>
      <c r="D51" s="1"/>
      <c r="E51" s="1"/>
      <c r="F51" s="1"/>
      <c r="G51" s="1"/>
      <c r="H51" s="1"/>
      <c r="I51" s="1"/>
      <c r="J51" s="1"/>
      <c r="K51" s="1"/>
      <c r="L51" s="1"/>
      <c r="M51" s="1"/>
      <c r="N51" s="1"/>
      <c r="O51" s="623"/>
      <c r="P51" s="1"/>
      <c r="Q51" s="1"/>
      <c r="R51" s="1"/>
      <c r="S51" s="1"/>
      <c r="T51" s="1"/>
      <c r="U51" s="1"/>
      <c r="V51" s="1"/>
      <c r="W51" s="1"/>
      <c r="X51" s="1"/>
      <c r="Y51" s="1"/>
      <c r="Z51" s="1"/>
    </row>
    <row r="52" spans="1:26" ht="12.75">
      <c r="A52" s="1"/>
      <c r="B52" s="1"/>
      <c r="C52" s="1"/>
      <c r="D52" s="1"/>
      <c r="E52" s="1"/>
      <c r="F52" s="1"/>
      <c r="G52" s="1"/>
      <c r="H52" s="1"/>
      <c r="I52" s="1"/>
      <c r="J52" s="1"/>
      <c r="K52" s="1"/>
      <c r="L52" s="1"/>
      <c r="M52" s="1"/>
      <c r="N52" s="1"/>
      <c r="O52" s="623"/>
      <c r="P52" s="1"/>
      <c r="Q52" s="1"/>
      <c r="R52" s="1"/>
      <c r="S52" s="1"/>
      <c r="T52" s="1"/>
      <c r="U52" s="1"/>
      <c r="V52" s="1"/>
      <c r="W52" s="1"/>
      <c r="X52" s="1"/>
      <c r="Y52" s="1"/>
      <c r="Z52" s="1"/>
    </row>
    <row r="53" spans="1:26" ht="12.75">
      <c r="A53" s="1"/>
      <c r="B53" s="1"/>
      <c r="C53" s="1"/>
      <c r="D53" s="1"/>
      <c r="E53" s="1"/>
      <c r="F53" s="1"/>
      <c r="G53" s="1"/>
      <c r="H53" s="1"/>
      <c r="I53" s="1"/>
      <c r="J53" s="1"/>
      <c r="K53" s="1"/>
      <c r="L53" s="1"/>
      <c r="M53" s="1"/>
      <c r="N53" s="1"/>
      <c r="O53" s="623"/>
      <c r="P53" s="1"/>
      <c r="Q53" s="1"/>
      <c r="R53" s="1"/>
      <c r="S53" s="1"/>
      <c r="T53" s="1"/>
      <c r="U53" s="1"/>
      <c r="V53" s="1"/>
      <c r="W53" s="1"/>
      <c r="X53" s="1"/>
      <c r="Y53" s="1"/>
      <c r="Z53" s="1"/>
    </row>
    <row r="54" spans="1:26" ht="12.75">
      <c r="A54" s="1"/>
      <c r="B54" s="1"/>
      <c r="C54" s="1"/>
      <c r="D54" s="1"/>
      <c r="E54" s="1"/>
      <c r="F54" s="1"/>
      <c r="G54" s="1"/>
      <c r="H54" s="1"/>
      <c r="I54" s="1"/>
      <c r="J54" s="1"/>
      <c r="K54" s="1"/>
      <c r="L54" s="1"/>
      <c r="M54" s="1"/>
      <c r="N54" s="1"/>
      <c r="O54" s="623"/>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623"/>
      <c r="P55" s="1"/>
      <c r="Q55" s="1"/>
      <c r="R55" s="1"/>
      <c r="S55" s="1"/>
      <c r="T55" s="1"/>
      <c r="U55" s="1"/>
      <c r="V55" s="1"/>
      <c r="W55" s="1"/>
      <c r="X55" s="1"/>
      <c r="Y55" s="1"/>
      <c r="Z55" s="1"/>
    </row>
    <row r="56" spans="1:26" ht="12.75">
      <c r="A56" s="1"/>
      <c r="B56" s="1"/>
      <c r="C56" s="1"/>
      <c r="D56" s="1"/>
      <c r="E56" s="1"/>
      <c r="F56" s="1"/>
      <c r="G56" s="1"/>
      <c r="H56" s="1"/>
      <c r="I56" s="1"/>
      <c r="J56" s="1"/>
      <c r="K56" s="1"/>
      <c r="L56" s="1"/>
      <c r="M56" s="1"/>
      <c r="N56" s="1"/>
      <c r="O56" s="623"/>
      <c r="P56" s="1"/>
      <c r="Q56" s="1"/>
      <c r="R56" s="1"/>
      <c r="S56" s="1"/>
      <c r="T56" s="1"/>
      <c r="U56" s="1"/>
      <c r="V56" s="1"/>
      <c r="W56" s="1"/>
      <c r="X56" s="1"/>
      <c r="Y56" s="1"/>
      <c r="Z56" s="1"/>
    </row>
    <row r="57" spans="1:26" ht="12.75">
      <c r="A57" s="1"/>
      <c r="B57" s="1"/>
      <c r="C57" s="1"/>
      <c r="D57" s="1"/>
      <c r="E57" s="1"/>
      <c r="F57" s="1"/>
      <c r="G57" s="1"/>
      <c r="H57" s="1"/>
      <c r="I57" s="1"/>
      <c r="J57" s="1"/>
      <c r="K57" s="1"/>
      <c r="L57" s="1"/>
      <c r="M57" s="1"/>
      <c r="N57" s="1"/>
      <c r="O57" s="623"/>
      <c r="P57" s="1"/>
      <c r="Q57" s="1"/>
      <c r="R57" s="1"/>
      <c r="S57" s="1"/>
      <c r="T57" s="1"/>
      <c r="U57" s="1"/>
      <c r="V57" s="1"/>
      <c r="W57" s="1"/>
      <c r="X57" s="1"/>
      <c r="Y57" s="1"/>
      <c r="Z57" s="1"/>
    </row>
    <row r="58" spans="1:26" ht="12.75">
      <c r="A58" s="1"/>
      <c r="B58" s="1"/>
      <c r="C58" s="1"/>
      <c r="D58" s="1"/>
      <c r="E58" s="1"/>
      <c r="F58" s="1"/>
      <c r="G58" s="1"/>
      <c r="H58" s="1"/>
      <c r="I58" s="1"/>
      <c r="J58" s="1"/>
      <c r="K58" s="1"/>
      <c r="L58" s="1"/>
      <c r="M58" s="1"/>
      <c r="N58" s="1"/>
      <c r="O58" s="623"/>
      <c r="P58" s="1"/>
      <c r="Q58" s="1"/>
      <c r="R58" s="1"/>
      <c r="S58" s="1"/>
      <c r="T58" s="1"/>
      <c r="U58" s="1"/>
      <c r="V58" s="1"/>
      <c r="W58" s="1"/>
      <c r="X58" s="1"/>
      <c r="Y58" s="1"/>
      <c r="Z58" s="1"/>
    </row>
    <row r="59" spans="1:26" ht="12.75">
      <c r="A59" s="1"/>
      <c r="B59" s="1"/>
      <c r="C59" s="1"/>
      <c r="D59" s="1"/>
      <c r="E59" s="1"/>
      <c r="F59" s="1"/>
      <c r="G59" s="1"/>
      <c r="H59" s="1"/>
      <c r="I59" s="1"/>
      <c r="J59" s="1"/>
      <c r="K59" s="1"/>
      <c r="L59" s="1"/>
      <c r="M59" s="1"/>
      <c r="N59" s="1"/>
      <c r="O59" s="623"/>
      <c r="P59" s="1"/>
      <c r="Q59" s="1"/>
      <c r="R59" s="1"/>
      <c r="S59" s="1"/>
      <c r="T59" s="1"/>
      <c r="U59" s="1"/>
      <c r="V59" s="1"/>
      <c r="W59" s="1"/>
      <c r="X59" s="1"/>
      <c r="Y59" s="1"/>
      <c r="Z59" s="1"/>
    </row>
    <row r="60" spans="1:26" ht="12.75">
      <c r="A60" s="1"/>
      <c r="B60" s="1"/>
      <c r="C60" s="1"/>
      <c r="D60" s="1"/>
      <c r="E60" s="1"/>
      <c r="F60" s="1"/>
      <c r="G60" s="1"/>
      <c r="H60" s="1"/>
      <c r="I60" s="1"/>
      <c r="J60" s="1"/>
      <c r="K60" s="1"/>
      <c r="L60" s="1"/>
      <c r="M60" s="1"/>
      <c r="N60" s="1"/>
      <c r="O60" s="623"/>
      <c r="P60" s="1"/>
      <c r="Q60" s="1"/>
      <c r="R60" s="1"/>
      <c r="S60" s="1"/>
      <c r="T60" s="1"/>
      <c r="U60" s="1"/>
      <c r="V60" s="1"/>
      <c r="W60" s="1"/>
      <c r="X60" s="1"/>
      <c r="Y60" s="1"/>
      <c r="Z60" s="1"/>
    </row>
    <row r="61" spans="1:26" ht="12.75">
      <c r="A61" s="1"/>
      <c r="B61" s="1"/>
      <c r="C61" s="1"/>
      <c r="D61" s="1"/>
      <c r="E61" s="1"/>
      <c r="F61" s="1"/>
      <c r="G61" s="1"/>
      <c r="H61" s="1"/>
      <c r="I61" s="1"/>
      <c r="J61" s="1"/>
      <c r="K61" s="1"/>
      <c r="L61" s="1"/>
      <c r="M61" s="1"/>
      <c r="N61" s="1"/>
      <c r="O61" s="623"/>
      <c r="P61" s="1"/>
      <c r="Q61" s="1"/>
      <c r="R61" s="1"/>
      <c r="S61" s="1"/>
      <c r="T61" s="1"/>
      <c r="U61" s="1"/>
      <c r="V61" s="1"/>
      <c r="W61" s="1"/>
      <c r="X61" s="1"/>
      <c r="Y61" s="1"/>
      <c r="Z61" s="1"/>
    </row>
    <row r="62" spans="1:26" ht="12.75">
      <c r="A62" s="1"/>
      <c r="B62" s="1"/>
      <c r="C62" s="1"/>
      <c r="D62" s="1"/>
      <c r="E62" s="1"/>
      <c r="F62" s="1"/>
      <c r="G62" s="1"/>
      <c r="H62" s="1"/>
      <c r="I62" s="1"/>
      <c r="J62" s="1"/>
      <c r="K62" s="1"/>
      <c r="L62" s="1"/>
      <c r="M62" s="1"/>
      <c r="N62" s="1"/>
      <c r="O62" s="623"/>
      <c r="P62" s="1"/>
      <c r="Q62" s="1"/>
      <c r="R62" s="1"/>
      <c r="S62" s="1"/>
      <c r="T62" s="1"/>
      <c r="U62" s="1"/>
      <c r="V62" s="1"/>
      <c r="W62" s="1"/>
      <c r="X62" s="1"/>
      <c r="Y62" s="1"/>
      <c r="Z62" s="1"/>
    </row>
    <row r="63" spans="1:26" ht="12.75">
      <c r="A63" s="1"/>
      <c r="B63" s="1"/>
      <c r="C63" s="1"/>
      <c r="D63" s="1"/>
      <c r="E63" s="1"/>
      <c r="F63" s="1"/>
      <c r="G63" s="1"/>
      <c r="H63" s="1"/>
      <c r="I63" s="1"/>
      <c r="J63" s="1"/>
      <c r="K63" s="1"/>
      <c r="L63" s="1"/>
      <c r="M63" s="1"/>
      <c r="N63" s="1"/>
      <c r="O63" s="623"/>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623"/>
      <c r="P64" s="1"/>
      <c r="Q64" s="1"/>
      <c r="R64" s="1"/>
      <c r="S64" s="1"/>
      <c r="T64" s="1"/>
      <c r="U64" s="1"/>
      <c r="V64" s="1"/>
      <c r="W64" s="1"/>
      <c r="X64" s="1"/>
      <c r="Y64" s="1"/>
      <c r="Z64" s="1"/>
    </row>
    <row r="65" spans="1:26" ht="12.7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322" t="str">
        <f>H31</f>
        <v>SELECT SCHOOL NAME FROM LIST</v>
      </c>
    </row>
    <row r="67" s="17" customFormat="1" ht="12.75" hidden="1">
      <c r="Z67" s="323">
        <f>IF($Z$66=$H$31,1,0)</f>
        <v>1</v>
      </c>
    </row>
    <row r="68" spans="1:26" ht="12.75" hidden="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hidden="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sheetData>
  <sheetProtection password="DD49" sheet="1" objects="1" scenarios="1"/>
  <mergeCells count="4">
    <mergeCell ref="K14:L14"/>
    <mergeCell ref="K13:L13"/>
    <mergeCell ref="K12:L12"/>
    <mergeCell ref="H31:L31"/>
  </mergeCells>
  <conditionalFormatting sqref="D33">
    <cfRule type="cellIs" priority="1" dxfId="0" operator="equal" stopIfTrue="1">
      <formula>0</formula>
    </cfRule>
  </conditionalFormatting>
  <dataValidations count="5">
    <dataValidation type="custom" allowBlank="1" showInputMessage="1" showErrorMessage="1" sqref="D35 D15:D18 D20:D23 D31:D32 D26">
      <formula1>"NO CHANGE ADVISED"</formula1>
    </dataValidation>
    <dataValidation type="custom" allowBlank="1" showInputMessage="1" showErrorMessage="1" errorTitle="COPYRIGHT PROTECTION!" error="&#10;Tampering with this cell puts you in breach of copyright laws.&#10;&#10;Click 'Cancel' to end." sqref="H34 L34">
      <formula1>"NO CHANGE ADVISED"</formula1>
    </dataValidation>
    <dataValidation allowBlank="1" showInputMessage="1" showErrorMessage="1" errorTitle="COPYRIGHT PROTECTION!" error="&#10;Tampering with this cell puts you in breach of copyright laws.&#10;&#10;Click 'Cancel' to end." sqref="Z67"/>
    <dataValidation type="list" operator="lessThanOrEqual" allowBlank="1" showInputMessage="1" showErrorMessage="1" promptTitle="SCHOOL NAME" prompt="&#10;select your organisation name to validate the site licence and enable the document to function.&#10;&#10;If your school is not on the list you are not an authorised user and the document will not calculate accurately." errorTitle="DOCUMENT VALIDATION FIELD" error="&#10;This entry will enable the proper function of the document, which will only calculate accurately for authorised users.&#10;&#10;If you are uncertain about this entry field please ring the number above." sqref="H31:L31">
      <formula1>O1:O63</formula1>
    </dataValidation>
    <dataValidation type="custom" allowBlank="1" showInputMessage="1" showErrorMessage="1" sqref="O3:O27 O37:O63">
      <formula1>"NO CHANGE"</formula1>
    </dataValidation>
  </dataValidations>
  <hyperlinks>
    <hyperlink ref="K12" location="INDEX!A1" tooltip="Go to Index" display="INDEX"/>
    <hyperlink ref="E29" r:id="rId1" display="steve@exceled.co.uk"/>
  </hyperlinks>
  <printOptions horizontalCentered="1"/>
  <pageMargins left="0.35433070866141736" right="0.35433070866141736" top="0.5905511811023623" bottom="0.3937007874015748" header="0.5118110236220472" footer="0.5118110236220472"/>
  <pageSetup blackAndWhite="1" fitToHeight="1" fitToWidth="1" horizontalDpi="600" verticalDpi="600" orientation="portrait" paperSize="9" scale="81" r:id="rId5"/>
  <drawing r:id="rId4"/>
  <legacyDrawing r:id="rId3"/>
</worksheet>
</file>

<file path=xl/worksheets/sheet10.xml><?xml version="1.0" encoding="utf-8"?>
<worksheet xmlns="http://schemas.openxmlformats.org/spreadsheetml/2006/main" xmlns:r="http://schemas.openxmlformats.org/officeDocument/2006/relationships">
  <sheetPr>
    <pageSetUpPr fitToPage="1"/>
  </sheetPr>
  <dimension ref="A1:AE58"/>
  <sheetViews>
    <sheetView showGridLines="0" showRowColHeaders="0" zoomScale="75" zoomScaleNormal="75" workbookViewId="0" topLeftCell="A1">
      <pane ySplit="1" topLeftCell="BM2" activePane="bottomLeft" state="frozen"/>
      <selection pane="topLeft" activeCell="K12" sqref="K12:L12"/>
      <selection pane="bottomLeft" activeCell="A2" sqref="A2"/>
    </sheetView>
  </sheetViews>
  <sheetFormatPr defaultColWidth="8.88671875" defaultRowHeight="15" zeroHeight="1"/>
  <cols>
    <col min="1" max="1" width="1.77734375" style="9" customWidth="1"/>
    <col min="2" max="2" width="0.78125" style="9" customWidth="1"/>
    <col min="3" max="3" width="16.6640625" style="9" customWidth="1"/>
    <col min="4" max="4" width="8.77734375" style="9" customWidth="1"/>
    <col min="5" max="5" width="9.77734375" style="9" customWidth="1"/>
    <col min="6" max="6" width="8.77734375" style="9" customWidth="1"/>
    <col min="7" max="7" width="9.77734375" style="9" customWidth="1"/>
    <col min="8" max="8" width="13.6640625" style="9" customWidth="1"/>
    <col min="9" max="9" width="10.88671875" style="9" customWidth="1"/>
    <col min="10" max="10" width="9.6640625" style="9" customWidth="1"/>
    <col min="11" max="11" width="11.77734375" style="9" customWidth="1"/>
    <col min="12" max="12" width="10.77734375" style="9" customWidth="1"/>
    <col min="13" max="13" width="4.6640625" style="9" customWidth="1"/>
    <col min="14" max="14" width="9.77734375" style="9" customWidth="1"/>
    <col min="15" max="15" width="5.77734375" style="9" customWidth="1"/>
    <col min="16" max="16" width="0.671875" style="9" customWidth="1"/>
    <col min="17" max="17" width="2.77734375" style="9" customWidth="1"/>
    <col min="18" max="18" width="2.88671875" style="9" customWidth="1"/>
    <col min="19" max="19" width="2.77734375" style="9" customWidth="1"/>
    <col min="20" max="20" width="8.77734375" style="9" customWidth="1"/>
    <col min="21" max="21" width="16.6640625" style="9" customWidth="1"/>
    <col min="22" max="23" width="8.77734375" style="9" customWidth="1"/>
    <col min="24" max="24" width="2.77734375" style="9" customWidth="1"/>
    <col min="25" max="31" width="8.88671875" style="9" customWidth="1"/>
    <col min="32" max="16384" width="0" style="9" hidden="1" customWidth="1"/>
  </cols>
  <sheetData>
    <row r="1" spans="1:31" ht="30" customHeight="1">
      <c r="A1" s="33"/>
      <c r="B1" s="33"/>
      <c r="C1" s="621"/>
      <c r="D1" s="86"/>
      <c r="E1" s="86"/>
      <c r="F1" s="583" t="s">
        <v>244</v>
      </c>
      <c r="G1" s="86"/>
      <c r="H1" s="572"/>
      <c r="I1" s="33"/>
      <c r="J1" s="33"/>
      <c r="K1" s="33"/>
      <c r="L1" s="33"/>
      <c r="M1" s="33"/>
      <c r="N1" s="33"/>
      <c r="O1" s="33"/>
      <c r="P1" s="33"/>
      <c r="Q1" s="33"/>
      <c r="R1" s="33"/>
      <c r="S1" s="33"/>
      <c r="T1" s="33"/>
      <c r="U1" s="33"/>
      <c r="V1" s="33"/>
      <c r="W1" s="33"/>
      <c r="X1" s="33"/>
      <c r="Y1" s="33"/>
      <c r="Z1" s="33"/>
      <c r="AA1" s="33"/>
      <c r="AB1" s="33"/>
      <c r="AC1" s="33"/>
      <c r="AD1" s="33"/>
      <c r="AE1" s="33"/>
    </row>
    <row r="2" spans="1:31" ht="30"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row>
    <row r="3" spans="1:31" ht="4.5" customHeight="1" thickBot="1">
      <c r="A3" s="33"/>
      <c r="B3" s="30"/>
      <c r="C3" s="31"/>
      <c r="D3" s="30"/>
      <c r="E3" s="30"/>
      <c r="F3" s="30"/>
      <c r="G3" s="30"/>
      <c r="H3" s="30"/>
      <c r="I3" s="30"/>
      <c r="J3" s="30"/>
      <c r="K3" s="30"/>
      <c r="L3" s="30"/>
      <c r="M3" s="30"/>
      <c r="N3" s="30"/>
      <c r="O3" s="30"/>
      <c r="P3" s="30"/>
      <c r="Q3" s="33"/>
      <c r="R3" s="33"/>
      <c r="S3" s="33"/>
      <c r="T3" s="33"/>
      <c r="U3" s="33"/>
      <c r="V3" s="33"/>
      <c r="W3" s="33"/>
      <c r="X3" s="33"/>
      <c r="Y3" s="33"/>
      <c r="Z3" s="33"/>
      <c r="AA3" s="33"/>
      <c r="AB3" s="33"/>
      <c r="AC3" s="33"/>
      <c r="AD3" s="33"/>
      <c r="AE3" s="33"/>
    </row>
    <row r="4" spans="1:31" ht="25.5" customHeight="1">
      <c r="A4" s="33"/>
      <c r="B4" s="30"/>
      <c r="C4" s="109" t="s">
        <v>137</v>
      </c>
      <c r="D4" s="110"/>
      <c r="E4" s="110"/>
      <c r="F4" s="110"/>
      <c r="G4" s="110"/>
      <c r="H4" s="110"/>
      <c r="I4" s="110"/>
      <c r="J4" s="111" t="str">
        <f>('Terms of Use'!$H$31)</f>
        <v>SELECT SCHOOL NAME FROM LIST</v>
      </c>
      <c r="K4" s="110"/>
      <c r="L4" s="110"/>
      <c r="M4" s="110"/>
      <c r="N4" s="110"/>
      <c r="O4" s="112"/>
      <c r="P4" s="30"/>
      <c r="Q4" s="33"/>
      <c r="R4" s="33"/>
      <c r="S4" s="33"/>
      <c r="T4" s="33"/>
      <c r="U4" s="33"/>
      <c r="V4" s="33"/>
      <c r="W4" s="33"/>
      <c r="X4" s="33"/>
      <c r="Y4" s="33"/>
      <c r="Z4" s="33"/>
      <c r="AA4" s="33"/>
      <c r="AB4" s="33"/>
      <c r="AC4" s="33"/>
      <c r="AD4" s="33"/>
      <c r="AE4" s="33"/>
    </row>
    <row r="5" spans="1:31" ht="15">
      <c r="A5" s="33"/>
      <c r="B5" s="30"/>
      <c r="C5" s="113"/>
      <c r="D5" s="24"/>
      <c r="E5" s="24"/>
      <c r="F5" s="24"/>
      <c r="G5" s="24"/>
      <c r="H5" s="24"/>
      <c r="I5" s="24"/>
      <c r="J5" s="24"/>
      <c r="K5" s="24"/>
      <c r="L5" s="24"/>
      <c r="M5" s="24"/>
      <c r="N5" s="24"/>
      <c r="O5" s="114"/>
      <c r="P5" s="30"/>
      <c r="Q5" s="33"/>
      <c r="R5" s="33"/>
      <c r="S5" s="33"/>
      <c r="T5" s="33"/>
      <c r="U5" s="33"/>
      <c r="V5" s="33"/>
      <c r="W5" s="33"/>
      <c r="X5" s="33"/>
      <c r="Y5" s="33"/>
      <c r="Z5" s="33"/>
      <c r="AA5" s="33"/>
      <c r="AB5" s="33"/>
      <c r="AC5" s="33"/>
      <c r="AD5" s="33"/>
      <c r="AE5" s="33"/>
    </row>
    <row r="6" spans="1:31" ht="25.5" customHeight="1">
      <c r="A6" s="33"/>
      <c r="B6" s="30"/>
      <c r="C6" s="115" t="s">
        <v>106</v>
      </c>
      <c r="D6" s="24"/>
      <c r="E6" s="24"/>
      <c r="F6" s="24"/>
      <c r="G6" s="24"/>
      <c r="H6" s="716">
        <v>0</v>
      </c>
      <c r="I6" s="116" t="s">
        <v>34</v>
      </c>
      <c r="J6" s="34" t="s">
        <v>35</v>
      </c>
      <c r="K6" s="616">
        <f>$H$6/(SUM('Salary Scales'!D39+'Salary Scales'!J41+'Salary Scales'!M63)/100*122.5)*'Salary Scales'!$I$5</f>
        <v>0</v>
      </c>
      <c r="L6" s="35" t="s">
        <v>138</v>
      </c>
      <c r="M6" s="36"/>
      <c r="N6" s="37">
        <f>($K$6/('Salary Scales'!$I$5))</f>
        <v>0</v>
      </c>
      <c r="O6" s="117" t="s">
        <v>36</v>
      </c>
      <c r="P6" s="30"/>
      <c r="Q6" s="33"/>
      <c r="R6" s="33"/>
      <c r="S6" s="33"/>
      <c r="T6" s="33"/>
      <c r="U6" s="33"/>
      <c r="V6" s="33"/>
      <c r="W6" s="33"/>
      <c r="X6" s="33"/>
      <c r="Y6" s="33"/>
      <c r="Z6" s="33"/>
      <c r="AA6" s="33"/>
      <c r="AB6" s="33"/>
      <c r="AC6" s="33"/>
      <c r="AD6" s="33"/>
      <c r="AE6" s="33"/>
    </row>
    <row r="7" spans="1:31" ht="15">
      <c r="A7" s="33"/>
      <c r="B7" s="30"/>
      <c r="C7" s="113"/>
      <c r="D7" s="24"/>
      <c r="E7" s="24"/>
      <c r="F7" s="24"/>
      <c r="G7" s="24"/>
      <c r="H7" s="24"/>
      <c r="I7" s="24"/>
      <c r="J7" s="24"/>
      <c r="K7" s="24"/>
      <c r="L7" s="24"/>
      <c r="M7" s="24"/>
      <c r="N7" s="24"/>
      <c r="O7" s="114"/>
      <c r="P7" s="30"/>
      <c r="Q7" s="33"/>
      <c r="R7" s="33"/>
      <c r="S7" s="33"/>
      <c r="T7" s="33"/>
      <c r="U7" s="33"/>
      <c r="V7" s="33"/>
      <c r="W7" s="33"/>
      <c r="X7" s="33"/>
      <c r="Y7" s="33"/>
      <c r="Z7" s="33"/>
      <c r="AA7" s="33"/>
      <c r="AB7" s="33"/>
      <c r="AC7" s="33"/>
      <c r="AD7" s="33"/>
      <c r="AE7" s="33"/>
    </row>
    <row r="8" spans="1:31" ht="15">
      <c r="A8" s="33"/>
      <c r="B8" s="30"/>
      <c r="C8" s="113"/>
      <c r="D8" s="24"/>
      <c r="E8" s="24"/>
      <c r="F8" s="24"/>
      <c r="G8" s="24"/>
      <c r="H8" s="24"/>
      <c r="I8" s="24"/>
      <c r="J8" s="24"/>
      <c r="K8" s="24"/>
      <c r="L8" s="24"/>
      <c r="M8" s="24"/>
      <c r="N8" s="24"/>
      <c r="O8" s="114"/>
      <c r="P8" s="30"/>
      <c r="Q8" s="33"/>
      <c r="R8" s="33"/>
      <c r="S8" s="33"/>
      <c r="T8" s="33"/>
      <c r="U8" s="33"/>
      <c r="V8" s="33"/>
      <c r="W8" s="33"/>
      <c r="X8" s="33"/>
      <c r="Y8" s="33"/>
      <c r="Z8" s="33"/>
      <c r="AA8" s="33"/>
      <c r="AB8" s="33"/>
      <c r="AC8" s="33"/>
      <c r="AD8" s="33"/>
      <c r="AE8" s="33"/>
    </row>
    <row r="9" spans="1:31" ht="25.5" customHeight="1">
      <c r="A9" s="33"/>
      <c r="B9" s="30"/>
      <c r="C9" s="115" t="s">
        <v>214</v>
      </c>
      <c r="D9" s="24"/>
      <c r="E9" s="24"/>
      <c r="F9" s="24"/>
      <c r="G9" s="24"/>
      <c r="H9" s="716">
        <v>0</v>
      </c>
      <c r="I9" s="116" t="s">
        <v>34</v>
      </c>
      <c r="J9" s="34" t="s">
        <v>35</v>
      </c>
      <c r="K9" s="616">
        <f>$H$9/(SUM('Salary Scales'!G91+'Salary Scales'!M89+'Salary Scales'!M100)/52*45.22/100*122.5)*'Salary Scales'!$I$7</f>
        <v>0</v>
      </c>
      <c r="L9" s="35" t="s">
        <v>37</v>
      </c>
      <c r="M9" s="36"/>
      <c r="N9" s="38"/>
      <c r="O9" s="114"/>
      <c r="P9" s="30"/>
      <c r="Q9" s="33"/>
      <c r="R9" s="33"/>
      <c r="S9" s="33"/>
      <c r="T9" s="33"/>
      <c r="U9" s="33"/>
      <c r="V9" s="33"/>
      <c r="W9" s="33"/>
      <c r="X9" s="33"/>
      <c r="Y9" s="33"/>
      <c r="Z9" s="33"/>
      <c r="AA9" s="33"/>
      <c r="AB9" s="33"/>
      <c r="AC9" s="33"/>
      <c r="AD9" s="33"/>
      <c r="AE9" s="33"/>
    </row>
    <row r="10" spans="1:31" ht="20.25">
      <c r="A10" s="33"/>
      <c r="B10" s="30"/>
      <c r="C10" s="118"/>
      <c r="D10" s="24"/>
      <c r="E10" s="24"/>
      <c r="F10" s="24"/>
      <c r="G10" s="24"/>
      <c r="H10" s="119"/>
      <c r="I10" s="120"/>
      <c r="J10" s="24"/>
      <c r="K10" s="27"/>
      <c r="L10" s="28"/>
      <c r="M10" s="29"/>
      <c r="N10" s="24"/>
      <c r="O10" s="114"/>
      <c r="P10" s="30"/>
      <c r="Q10" s="33"/>
      <c r="R10" s="33"/>
      <c r="S10" s="33"/>
      <c r="T10" s="33"/>
      <c r="U10" s="33"/>
      <c r="V10" s="33"/>
      <c r="W10" s="33"/>
      <c r="X10" s="33"/>
      <c r="Y10" s="33"/>
      <c r="Z10" s="33"/>
      <c r="AA10" s="33"/>
      <c r="AB10" s="33"/>
      <c r="AC10" s="33"/>
      <c r="AD10" s="33"/>
      <c r="AE10" s="33"/>
    </row>
    <row r="11" spans="1:31" ht="20.25" customHeight="1">
      <c r="A11" s="33"/>
      <c r="B11" s="30"/>
      <c r="C11" s="630" t="str">
        <f>IF('Terms of Use'!$H$31='Terms of Use'!$O$2,"   **UNAUTHORISED USER!  THIS DOCUMENT WILL NOT CALCULATE ACCURATELY**",0)</f>
        <v>   **UNAUTHORISED USER!  THIS DOCUMENT WILL NOT CALCULATE ACCURATELY**</v>
      </c>
      <c r="D11" s="24"/>
      <c r="E11" s="121"/>
      <c r="F11" s="121"/>
      <c r="G11" s="24"/>
      <c r="H11" s="24"/>
      <c r="I11" s="24"/>
      <c r="J11" s="24"/>
      <c r="K11" s="24"/>
      <c r="L11" s="24"/>
      <c r="M11" s="24"/>
      <c r="N11" s="24"/>
      <c r="O11" s="114"/>
      <c r="P11" s="30"/>
      <c r="Q11" s="33"/>
      <c r="R11" s="33"/>
      <c r="S11" s="33"/>
      <c r="T11" s="33"/>
      <c r="U11" s="33"/>
      <c r="V11" s="33"/>
      <c r="W11" s="33"/>
      <c r="X11" s="33"/>
      <c r="Y11" s="33"/>
      <c r="Z11" s="33"/>
      <c r="AA11" s="33"/>
      <c r="AB11" s="33"/>
      <c r="AC11" s="33"/>
      <c r="AD11" s="33"/>
      <c r="AE11" s="33"/>
    </row>
    <row r="12" spans="1:31" ht="18">
      <c r="A12" s="33"/>
      <c r="B12" s="30"/>
      <c r="C12" s="122" t="s">
        <v>77</v>
      </c>
      <c r="D12" s="123" t="s">
        <v>217</v>
      </c>
      <c r="E12" s="124"/>
      <c r="F12" s="121"/>
      <c r="G12" s="24"/>
      <c r="H12" s="24"/>
      <c r="I12" s="24"/>
      <c r="J12" s="24"/>
      <c r="K12" s="24"/>
      <c r="L12" s="24"/>
      <c r="M12" s="24"/>
      <c r="N12" s="24"/>
      <c r="O12" s="114"/>
      <c r="P12" s="30"/>
      <c r="Q12" s="33"/>
      <c r="R12" s="33"/>
      <c r="S12" s="33"/>
      <c r="T12" s="33"/>
      <c r="U12" s="33"/>
      <c r="V12" s="33"/>
      <c r="W12" s="33"/>
      <c r="X12" s="33"/>
      <c r="Y12" s="33"/>
      <c r="Z12" s="33"/>
      <c r="AA12" s="33"/>
      <c r="AB12" s="33"/>
      <c r="AC12" s="33"/>
      <c r="AD12" s="33"/>
      <c r="AE12" s="33"/>
    </row>
    <row r="13" spans="1:31" ht="18">
      <c r="A13" s="33"/>
      <c r="B13" s="30"/>
      <c r="C13" s="113"/>
      <c r="D13" s="125" t="s">
        <v>218</v>
      </c>
      <c r="E13" s="124"/>
      <c r="F13" s="121"/>
      <c r="G13" s="121"/>
      <c r="H13" s="24"/>
      <c r="I13" s="24"/>
      <c r="J13" s="23"/>
      <c r="K13" s="24"/>
      <c r="L13" s="24"/>
      <c r="M13" s="24"/>
      <c r="N13" s="24"/>
      <c r="O13" s="114"/>
      <c r="P13" s="30"/>
      <c r="Q13" s="33"/>
      <c r="R13" s="33"/>
      <c r="S13" s="33"/>
      <c r="T13" s="33"/>
      <c r="U13" s="33"/>
      <c r="V13" s="33"/>
      <c r="W13" s="33"/>
      <c r="X13" s="33"/>
      <c r="Y13" s="33"/>
      <c r="Z13" s="33"/>
      <c r="AA13" s="33"/>
      <c r="AB13" s="33"/>
      <c r="AC13" s="33"/>
      <c r="AD13" s="33"/>
      <c r="AE13" s="33"/>
    </row>
    <row r="14" spans="1:31" ht="18">
      <c r="A14" s="33"/>
      <c r="B14" s="30"/>
      <c r="C14" s="113"/>
      <c r="D14" s="123" t="s">
        <v>216</v>
      </c>
      <c r="E14" s="124"/>
      <c r="F14" s="121"/>
      <c r="G14" s="121"/>
      <c r="H14" s="24"/>
      <c r="I14" s="24"/>
      <c r="J14" s="24"/>
      <c r="K14" s="24"/>
      <c r="L14" s="24"/>
      <c r="M14" s="24"/>
      <c r="N14" s="24"/>
      <c r="O14" s="114"/>
      <c r="P14" s="30"/>
      <c r="Q14" s="33"/>
      <c r="R14" s="33"/>
      <c r="S14" s="33"/>
      <c r="T14" s="33"/>
      <c r="U14" s="33"/>
      <c r="V14" s="33"/>
      <c r="W14" s="33"/>
      <c r="X14" s="33"/>
      <c r="Y14" s="33"/>
      <c r="Z14" s="33"/>
      <c r="AA14" s="33"/>
      <c r="AB14" s="33"/>
      <c r="AC14" s="33"/>
      <c r="AD14" s="33"/>
      <c r="AE14" s="33"/>
    </row>
    <row r="15" spans="1:31" ht="20.25">
      <c r="A15" s="33"/>
      <c r="B15" s="30"/>
      <c r="C15" s="113"/>
      <c r="D15" s="125" t="s">
        <v>215</v>
      </c>
      <c r="E15" s="126"/>
      <c r="F15" s="24"/>
      <c r="G15" s="121"/>
      <c r="H15" s="24"/>
      <c r="I15" s="24"/>
      <c r="J15" s="25"/>
      <c r="K15" s="26"/>
      <c r="L15" s="24"/>
      <c r="M15" s="24"/>
      <c r="N15" s="24"/>
      <c r="O15" s="114"/>
      <c r="P15" s="30"/>
      <c r="Q15" s="33"/>
      <c r="R15" s="33"/>
      <c r="S15" s="33"/>
      <c r="T15" s="33"/>
      <c r="U15" s="33"/>
      <c r="V15" s="33"/>
      <c r="W15" s="33"/>
      <c r="X15" s="33"/>
      <c r="Y15" s="33"/>
      <c r="Z15" s="33"/>
      <c r="AA15" s="33"/>
      <c r="AB15" s="33"/>
      <c r="AC15" s="33"/>
      <c r="AD15" s="33"/>
      <c r="AE15" s="33"/>
    </row>
    <row r="16" spans="1:31" ht="15">
      <c r="A16" s="33"/>
      <c r="B16" s="30"/>
      <c r="C16" s="113"/>
      <c r="D16" s="121"/>
      <c r="E16" s="121"/>
      <c r="F16" s="121"/>
      <c r="G16" s="121"/>
      <c r="H16" s="24"/>
      <c r="I16" s="24"/>
      <c r="J16" s="24"/>
      <c r="K16" s="24"/>
      <c r="L16" s="24"/>
      <c r="M16" s="24"/>
      <c r="N16" s="24"/>
      <c r="O16" s="114"/>
      <c r="P16" s="30"/>
      <c r="Q16" s="33"/>
      <c r="R16" s="33"/>
      <c r="S16" s="33"/>
      <c r="T16" s="33"/>
      <c r="U16" s="33"/>
      <c r="V16" s="33"/>
      <c r="W16" s="33"/>
      <c r="X16" s="33"/>
      <c r="Y16" s="33"/>
      <c r="Z16" s="33"/>
      <c r="AA16" s="33"/>
      <c r="AB16" s="33"/>
      <c r="AC16" s="33"/>
      <c r="AD16" s="33"/>
      <c r="AE16" s="33"/>
    </row>
    <row r="17" spans="1:31" ht="21" thickBot="1">
      <c r="A17" s="33"/>
      <c r="B17" s="30"/>
      <c r="C17" s="127"/>
      <c r="D17" s="128"/>
      <c r="E17" s="129"/>
      <c r="F17" s="129"/>
      <c r="G17" s="129"/>
      <c r="H17" s="129"/>
      <c r="I17" s="129"/>
      <c r="J17" s="129"/>
      <c r="K17" s="129"/>
      <c r="L17" s="129"/>
      <c r="M17" s="130"/>
      <c r="N17" s="424">
        <f>IF('Terms of Use'!$Z$67=0,"INVALID ORGANISATION NAME… DOCUMENT WILL NOT CALCULATE ACCURATELY.  PLEASE TRY AGAIN.",0)</f>
        <v>0</v>
      </c>
      <c r="O17" s="131"/>
      <c r="P17" s="32"/>
      <c r="Q17" s="33"/>
      <c r="R17" s="33"/>
      <c r="S17" s="33"/>
      <c r="T17" s="33"/>
      <c r="U17" s="33"/>
      <c r="V17" s="33"/>
      <c r="W17" s="33"/>
      <c r="X17" s="33"/>
      <c r="Y17" s="33"/>
      <c r="Z17" s="33"/>
      <c r="AA17" s="33"/>
      <c r="AB17" s="33"/>
      <c r="AC17" s="33"/>
      <c r="AD17" s="33"/>
      <c r="AE17" s="33"/>
    </row>
    <row r="18" spans="1:31" ht="4.5" customHeight="1">
      <c r="A18" s="33"/>
      <c r="B18" s="30"/>
      <c r="C18" s="513"/>
      <c r="D18" s="30"/>
      <c r="E18" s="30"/>
      <c r="F18" s="30"/>
      <c r="G18" s="30"/>
      <c r="H18" s="30"/>
      <c r="I18" s="30"/>
      <c r="J18" s="30"/>
      <c r="K18" s="30"/>
      <c r="L18" s="30"/>
      <c r="M18" s="30"/>
      <c r="N18" s="30"/>
      <c r="O18" s="30"/>
      <c r="P18" s="30"/>
      <c r="Q18" s="33"/>
      <c r="R18" s="33"/>
      <c r="S18" s="33"/>
      <c r="T18" s="33"/>
      <c r="U18" s="33"/>
      <c r="V18" s="33"/>
      <c r="W18" s="33"/>
      <c r="X18" s="33"/>
      <c r="Y18" s="33"/>
      <c r="Z18" s="33"/>
      <c r="AA18" s="33"/>
      <c r="AB18" s="33"/>
      <c r="AC18" s="33"/>
      <c r="AD18" s="33"/>
      <c r="AE18" s="33"/>
    </row>
    <row r="19" spans="1:31" ht="15">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row>
    <row r="20" spans="1:31" ht="15">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row>
    <row r="21" spans="1:31" ht="15">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row>
    <row r="22" spans="1:31" ht="15">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row>
    <row r="23" spans="1:31" ht="1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row>
    <row r="24" spans="1:31" ht="15">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row>
    <row r="25" spans="1:31" ht="1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row>
    <row r="26" spans="1:31" ht="15">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row>
    <row r="27" spans="1:31" ht="15">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row>
    <row r="28" spans="1:31" ht="1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row>
    <row r="29" spans="1:31" ht="15">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row>
    <row r="30" spans="1:31" ht="15">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row>
    <row r="31" spans="1:31" ht="1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row>
    <row r="32" spans="1:31" ht="1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row>
    <row r="33" spans="1:31" ht="1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row>
    <row r="34" spans="1:31" ht="15">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row>
    <row r="35" spans="1:31" ht="1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row>
    <row r="36" spans="1:31" ht="1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row>
    <row r="37" spans="1:31" ht="1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row>
    <row r="38" spans="1:31" ht="15">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row>
    <row r="39" spans="1:31" ht="1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row>
    <row r="40" spans="1:31" ht="1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row>
    <row r="41" spans="1:31" ht="1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row>
    <row r="42" spans="1:31" ht="1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row>
    <row r="43" spans="1:31" ht="1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row>
    <row r="44" spans="1:31" ht="1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row>
    <row r="45" spans="1:31" ht="1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row>
    <row r="46" spans="1:31" ht="1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7" spans="1:31" ht="1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row>
    <row r="48" spans="1:31" ht="1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row>
    <row r="49" spans="1:31" ht="1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row>
    <row r="50" spans="1:31" ht="1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row>
    <row r="51" spans="1:31" ht="1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row>
    <row r="52" spans="1:31" ht="1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row>
    <row r="53" spans="1:31" ht="1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row>
    <row r="54" spans="1:31" ht="1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row>
    <row r="55" spans="1:31" ht="1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row>
    <row r="56" spans="1:31" ht="1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1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row>
  </sheetData>
  <sheetProtection password="DD49" sheet="1" objects="1" scenarios="1"/>
  <conditionalFormatting sqref="C11">
    <cfRule type="cellIs" priority="1" dxfId="0" operator="equal" stopIfTrue="1">
      <formula>0</formula>
    </cfRule>
  </conditionalFormatting>
  <dataValidations count="8">
    <dataValidation errorStyle="warning" type="custom" allowBlank="1" showInputMessage="1" showErrorMessage="1" errorTitle="WARNING!" error="&#10;This cell contains an essential formula!  Overwriting or deleting this formula may adversely affect the whole document.&#10;&#10;Only continue if this is your intention.&#10;&#10;CLICK 'Cancel' IF YOU DO NOT WISH TO PROCEED." sqref="L10 K9 K6">
      <formula1>"NO CHANGE ADVISED"</formula1>
    </dataValidation>
    <dataValidation type="decimal" operator="greaterThanOrEqual" allowBlank="1" showInputMessage="1" showErrorMessage="1" promptTitle="ENTER AN AMOUNT" prompt="&#10;Enter the amount of money available for S.E.N. teaching support.  The cell to the right will tell you how many hours it will fund for a FULL YEAR." sqref="H6">
      <formula1>0</formula1>
    </dataValidation>
    <dataValidation type="decimal" operator="greaterThanOrEqual" allowBlank="1" showInputMessage="1" showErrorMessage="1" promptTitle="ENTER AN AMOUNT" prompt="&#10;Enter the amount of money available for S.E.N. classroom support. (Non-teaching).  The cell to the right will tell you how many hours it will fund for a FULL YEAR." sqref="H9">
      <formula1>0</formula1>
    </dataValidation>
    <dataValidation type="custom" allowBlank="1" showInputMessage="1" showErrorMessage="1" errorTitle="FIXED SYMBOL" sqref="C3">
      <formula1>"NO CHANGE REQUIRED"</formula1>
    </dataValidation>
    <dataValidation type="custom" allowBlank="1" showInputMessage="1" showErrorMessage="1" sqref="J4">
      <formula1>"NO CHANGE ALLOWED"</formula1>
    </dataValidation>
    <dataValidation type="custom" allowBlank="1" showInputMessage="1" showErrorMessage="1" errorTitle="COPYRIGHT PROTECTION!" error="&#10;Tampering with this cell puts you in breach of copyright laws.&#10;&#10;Click 'Cancel' to end." sqref="P17">
      <formula1>"COPYRIGHT PROTECTION"</formula1>
    </dataValidation>
    <dataValidation type="custom" allowBlank="1" showInputMessage="1" showErrorMessage="1" sqref="N6">
      <formula1>"NO CHANGE ADVISED"</formula1>
    </dataValidation>
    <dataValidation type="custom" allowBlank="1" showInputMessage="1" showErrorMessage="1" errorTitle="COPYRIGHT PROTECTION!" error="&#10;Tampering with this cell puts you in breach of copyright laws.&#10;&#10;Click 'Cancel' to end." sqref="N17">
      <formula1>"COPYRIGHT PROTECTION!"</formula1>
    </dataValidation>
  </dataValidations>
  <hyperlinks>
    <hyperlink ref="F1" location="INDEX!A1" tooltip="Go to Index" display="INDEX"/>
  </hyperlinks>
  <printOptions horizontalCentered="1"/>
  <pageMargins left="0.35433070866141736" right="0.35433070866141736" top="0.3937007874015748" bottom="0.1968503937007874" header="0.5118110236220472" footer="0.5118110236220472"/>
  <pageSetup blackAndWhite="1"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AK191"/>
  <sheetViews>
    <sheetView showGridLines="0" showRowColHeaders="0" showOutlineSymbols="0" zoomScale="75" zoomScaleNormal="75" workbookViewId="0" topLeftCell="A1">
      <pane ySplit="1" topLeftCell="BM2" activePane="bottomLeft" state="frozen"/>
      <selection pane="topLeft" activeCell="K12" sqref="K12:L12"/>
      <selection pane="bottomLeft" activeCell="A2" sqref="A2"/>
    </sheetView>
  </sheetViews>
  <sheetFormatPr defaultColWidth="7.6640625" defaultRowHeight="15" zeroHeight="1"/>
  <cols>
    <col min="1" max="1" width="1.66796875" style="12" customWidth="1"/>
    <col min="2" max="2" width="5.77734375" style="12" customWidth="1"/>
    <col min="3" max="3" width="5.10546875" style="12" customWidth="1"/>
    <col min="4" max="4" width="10.88671875" style="12" customWidth="1"/>
    <col min="5" max="5" width="2.77734375" style="12" customWidth="1"/>
    <col min="6" max="6" width="9.77734375" style="12" customWidth="1"/>
    <col min="7" max="7" width="10.5546875" style="12" customWidth="1"/>
    <col min="8" max="8" width="2.77734375" style="12" customWidth="1"/>
    <col min="9" max="10" width="9.77734375" style="12" customWidth="1"/>
    <col min="11" max="11" width="2.77734375" style="12" customWidth="1"/>
    <col min="12" max="13" width="9.77734375" style="12" customWidth="1"/>
    <col min="14" max="14" width="2.77734375" style="12" customWidth="1"/>
    <col min="15" max="16" width="9.77734375" style="12" customWidth="1"/>
    <col min="17" max="17" width="3.21484375" style="12" customWidth="1"/>
    <col min="18" max="18" width="0.88671875" style="12" customWidth="1"/>
    <col min="19" max="19" width="2.77734375" style="12" customWidth="1"/>
    <col min="20" max="20" width="7.77734375" style="12" customWidth="1"/>
    <col min="21" max="21" width="10.77734375" style="12" customWidth="1"/>
    <col min="22" max="22" width="9.77734375" style="12" customWidth="1"/>
    <col min="23" max="23" width="3.6640625" style="12" customWidth="1"/>
    <col min="24" max="24" width="10.77734375" style="12" customWidth="1"/>
    <col min="25" max="25" width="9.77734375" style="12" customWidth="1"/>
    <col min="26" max="26" width="2.77734375" style="12" customWidth="1"/>
    <col min="27" max="27" width="10.88671875" style="12" customWidth="1"/>
    <col min="28" max="28" width="9.77734375" style="12" customWidth="1"/>
    <col min="29" max="29" width="4.3359375" style="12" customWidth="1"/>
    <col min="30" max="31" width="9.77734375" style="12" customWidth="1"/>
    <col min="32" max="32" width="1.77734375" style="12" customWidth="1"/>
    <col min="33" max="35" width="11.4453125" style="12" customWidth="1"/>
    <col min="36" max="37" width="11.4453125" style="10" customWidth="1"/>
    <col min="38" max="16384" width="11.4453125" style="12" hidden="1" customWidth="1"/>
  </cols>
  <sheetData>
    <row r="1" spans="1:37" ht="30">
      <c r="A1" s="606"/>
      <c r="B1" s="607"/>
      <c r="C1" s="1120"/>
      <c r="D1" s="1120"/>
      <c r="E1" s="606"/>
      <c r="F1" s="606"/>
      <c r="G1" s="606"/>
      <c r="H1" s="606"/>
      <c r="I1" s="606"/>
      <c r="J1" s="606"/>
      <c r="K1" s="606"/>
      <c r="L1" s="583" t="s">
        <v>244</v>
      </c>
      <c r="M1" s="606"/>
      <c r="N1" s="606"/>
      <c r="O1" s="606"/>
      <c r="P1" s="606"/>
      <c r="Q1" s="608">
        <f>IF('Terms of Use'!$Z$67=0,"INVALID ORGANISATION NAME… DOCUMENT WILL NOT CALCULATE ACCURATELY.  PLEASE TRY AGAIN.",0)</f>
        <v>0</v>
      </c>
      <c r="R1" s="606"/>
      <c r="S1" s="606"/>
      <c r="T1" s="606"/>
      <c r="U1" s="606"/>
      <c r="V1" s="606"/>
      <c r="W1" s="606"/>
      <c r="X1" s="609"/>
      <c r="Y1" s="606"/>
      <c r="Z1" s="606"/>
      <c r="AA1" s="610"/>
      <c r="AB1" s="606"/>
      <c r="AC1" s="606"/>
      <c r="AD1" s="606"/>
      <c r="AE1" s="606"/>
      <c r="AF1" s="606"/>
      <c r="AG1" s="606"/>
      <c r="AH1" s="606"/>
      <c r="AI1" s="606"/>
      <c r="AJ1" s="606"/>
      <c r="AK1" s="606"/>
    </row>
    <row r="2" spans="1:35" ht="15.75" customHeight="1" thickBot="1">
      <c r="A2" s="10"/>
      <c r="B2" s="8"/>
      <c r="C2" s="8"/>
      <c r="D2" s="8"/>
      <c r="E2" s="8"/>
      <c r="F2" s="10"/>
      <c r="G2" s="10"/>
      <c r="H2" s="10"/>
      <c r="I2" s="10"/>
      <c r="J2" s="10"/>
      <c r="K2" s="10"/>
      <c r="L2" s="10"/>
      <c r="M2" s="10"/>
      <c r="N2" s="10"/>
      <c r="O2" s="10"/>
      <c r="P2" s="10"/>
      <c r="Q2" s="422"/>
      <c r="R2" s="10"/>
      <c r="S2" s="10"/>
      <c r="T2" s="10"/>
      <c r="U2" s="10"/>
      <c r="V2" s="10"/>
      <c r="W2" s="10"/>
      <c r="X2" s="11"/>
      <c r="Y2" s="10"/>
      <c r="Z2" s="10"/>
      <c r="AA2" s="421"/>
      <c r="AB2" s="10"/>
      <c r="AC2" s="10"/>
      <c r="AD2" s="10"/>
      <c r="AE2" s="10"/>
      <c r="AF2" s="10"/>
      <c r="AG2" s="10"/>
      <c r="AH2" s="10"/>
      <c r="AI2" s="10"/>
    </row>
    <row r="3" spans="1:37" s="14" customFormat="1" ht="18.75" customHeight="1">
      <c r="A3" s="13"/>
      <c r="B3" s="741" t="s">
        <v>96</v>
      </c>
      <c r="C3" s="742"/>
      <c r="D3" s="742"/>
      <c r="E3" s="743"/>
      <c r="F3" s="743"/>
      <c r="G3" s="743"/>
      <c r="H3" s="743"/>
      <c r="I3" s="743"/>
      <c r="J3" s="743"/>
      <c r="K3" s="744"/>
      <c r="L3" s="745"/>
      <c r="M3" s="745"/>
      <c r="N3" s="745"/>
      <c r="O3" s="745"/>
      <c r="P3" s="745"/>
      <c r="Q3" s="745"/>
      <c r="R3" s="746"/>
      <c r="S3" s="747"/>
      <c r="T3" s="747"/>
      <c r="U3" s="747"/>
      <c r="V3" s="747"/>
      <c r="W3" s="747"/>
      <c r="X3" s="748"/>
      <c r="Y3" s="747"/>
      <c r="Z3" s="747"/>
      <c r="AA3" s="748"/>
      <c r="AB3" s="747"/>
      <c r="AC3" s="747"/>
      <c r="AD3" s="747"/>
      <c r="AE3" s="747"/>
      <c r="AF3" s="749"/>
      <c r="AG3" s="749"/>
      <c r="AH3" s="749"/>
      <c r="AI3" s="13"/>
      <c r="AJ3" s="13"/>
      <c r="AK3" s="13"/>
    </row>
    <row r="4" spans="1:37" s="14" customFormat="1" ht="8.25" customHeight="1">
      <c r="A4" s="13"/>
      <c r="B4" s="750"/>
      <c r="C4" s="745"/>
      <c r="D4" s="751"/>
      <c r="E4" s="751"/>
      <c r="F4" s="751"/>
      <c r="G4" s="751"/>
      <c r="H4" s="751"/>
      <c r="I4" s="751"/>
      <c r="J4" s="751"/>
      <c r="K4" s="752"/>
      <c r="L4" s="745"/>
      <c r="M4" s="745"/>
      <c r="N4" s="745"/>
      <c r="O4" s="745"/>
      <c r="P4" s="745"/>
      <c r="Q4" s="745"/>
      <c r="R4" s="746"/>
      <c r="S4" s="747"/>
      <c r="T4" s="747"/>
      <c r="U4" s="747"/>
      <c r="V4" s="747"/>
      <c r="W4" s="747"/>
      <c r="X4" s="748"/>
      <c r="Y4" s="747"/>
      <c r="Z4" s="747"/>
      <c r="AA4" s="748"/>
      <c r="AB4" s="747"/>
      <c r="AC4" s="747"/>
      <c r="AD4" s="747"/>
      <c r="AE4" s="747"/>
      <c r="AF4" s="749"/>
      <c r="AG4" s="749"/>
      <c r="AH4" s="749"/>
      <c r="AI4" s="13"/>
      <c r="AJ4" s="13"/>
      <c r="AK4" s="13"/>
    </row>
    <row r="5" spans="1:37" s="14" customFormat="1" ht="16.5" customHeight="1">
      <c r="A5" s="13"/>
      <c r="B5" s="750"/>
      <c r="C5" s="745"/>
      <c r="D5" s="745"/>
      <c r="E5" s="751"/>
      <c r="F5" s="753"/>
      <c r="G5" s="754" t="s">
        <v>79</v>
      </c>
      <c r="H5" s="751"/>
      <c r="I5" s="717">
        <v>32.5</v>
      </c>
      <c r="J5" s="751" t="s">
        <v>93</v>
      </c>
      <c r="K5" s="752"/>
      <c r="L5" s="745"/>
      <c r="M5" s="745"/>
      <c r="N5" s="745"/>
      <c r="O5" s="745"/>
      <c r="P5" s="745"/>
      <c r="Q5" s="745"/>
      <c r="R5" s="746"/>
      <c r="S5" s="747"/>
      <c r="T5" s="747"/>
      <c r="U5" s="747"/>
      <c r="V5" s="747"/>
      <c r="W5" s="747"/>
      <c r="X5" s="748"/>
      <c r="Y5" s="747"/>
      <c r="Z5" s="747"/>
      <c r="AA5" s="748"/>
      <c r="AB5" s="747"/>
      <c r="AC5" s="747"/>
      <c r="AD5" s="747"/>
      <c r="AE5" s="747"/>
      <c r="AF5" s="749"/>
      <c r="AG5" s="749"/>
      <c r="AH5" s="749"/>
      <c r="AI5" s="13"/>
      <c r="AJ5" s="13"/>
      <c r="AK5" s="13"/>
    </row>
    <row r="6" spans="1:37" s="14" customFormat="1" ht="16.5" customHeight="1">
      <c r="A6" s="13"/>
      <c r="B6" s="750"/>
      <c r="C6" s="745"/>
      <c r="D6" s="745"/>
      <c r="E6" s="751"/>
      <c r="F6" s="753"/>
      <c r="G6" s="754" t="s">
        <v>122</v>
      </c>
      <c r="H6" s="751"/>
      <c r="I6" s="717">
        <v>36</v>
      </c>
      <c r="J6" s="751" t="s">
        <v>93</v>
      </c>
      <c r="K6" s="752"/>
      <c r="L6" s="745"/>
      <c r="M6" s="745"/>
      <c r="N6" s="745"/>
      <c r="O6" s="745"/>
      <c r="P6" s="745"/>
      <c r="Q6" s="745"/>
      <c r="R6" s="746"/>
      <c r="S6" s="747"/>
      <c r="T6" s="755" t="s">
        <v>98</v>
      </c>
      <c r="U6" s="756"/>
      <c r="V6" s="747"/>
      <c r="W6" s="747"/>
      <c r="X6" s="748"/>
      <c r="Y6" s="747"/>
      <c r="Z6" s="747"/>
      <c r="AA6" s="748"/>
      <c r="AB6" s="747"/>
      <c r="AC6" s="747"/>
      <c r="AD6" s="747"/>
      <c r="AE6" s="747"/>
      <c r="AF6" s="749"/>
      <c r="AG6" s="749"/>
      <c r="AH6" s="749"/>
      <c r="AI6" s="13"/>
      <c r="AJ6" s="13"/>
      <c r="AK6" s="13"/>
    </row>
    <row r="7" spans="1:37" s="14" customFormat="1" ht="16.5" customHeight="1">
      <c r="A7" s="13"/>
      <c r="B7" s="750"/>
      <c r="C7" s="745"/>
      <c r="D7" s="745"/>
      <c r="E7" s="751"/>
      <c r="F7" s="753"/>
      <c r="G7" s="754" t="s">
        <v>95</v>
      </c>
      <c r="H7" s="751"/>
      <c r="I7" s="717">
        <v>36</v>
      </c>
      <c r="J7" s="751" t="s">
        <v>93</v>
      </c>
      <c r="K7" s="752"/>
      <c r="L7" s="745"/>
      <c r="M7" s="745"/>
      <c r="N7" s="745"/>
      <c r="O7" s="745"/>
      <c r="P7" s="745"/>
      <c r="Q7" s="745"/>
      <c r="R7" s="746"/>
      <c r="S7" s="747"/>
      <c r="T7" s="755" t="s">
        <v>99</v>
      </c>
      <c r="U7" s="756"/>
      <c r="V7" s="747"/>
      <c r="W7" s="747"/>
      <c r="X7" s="748"/>
      <c r="Y7" s="747"/>
      <c r="Z7" s="747"/>
      <c r="AA7" s="748"/>
      <c r="AB7" s="747"/>
      <c r="AC7" s="747"/>
      <c r="AD7" s="747"/>
      <c r="AE7" s="747"/>
      <c r="AF7" s="749"/>
      <c r="AG7" s="749"/>
      <c r="AH7" s="749"/>
      <c r="AI7" s="13"/>
      <c r="AJ7" s="13"/>
      <c r="AK7" s="13"/>
    </row>
    <row r="8" spans="1:37" s="14" customFormat="1" ht="16.5" customHeight="1" thickBot="1">
      <c r="A8" s="13"/>
      <c r="B8" s="757"/>
      <c r="C8" s="758"/>
      <c r="D8" s="759"/>
      <c r="E8" s="759"/>
      <c r="F8" s="760"/>
      <c r="G8" s="761" t="s">
        <v>94</v>
      </c>
      <c r="H8" s="759"/>
      <c r="I8" s="718">
        <v>36</v>
      </c>
      <c r="J8" s="759" t="s">
        <v>93</v>
      </c>
      <c r="K8" s="762"/>
      <c r="L8" s="745"/>
      <c r="M8" s="745"/>
      <c r="N8" s="745"/>
      <c r="O8" s="745"/>
      <c r="P8" s="745"/>
      <c r="Q8" s="745"/>
      <c r="R8" s="746"/>
      <c r="S8" s="747"/>
      <c r="T8" s="747"/>
      <c r="U8" s="747"/>
      <c r="V8" s="747"/>
      <c r="W8" s="747"/>
      <c r="X8" s="748"/>
      <c r="Y8" s="747"/>
      <c r="Z8" s="747"/>
      <c r="AA8" s="748"/>
      <c r="AB8" s="747"/>
      <c r="AC8" s="747"/>
      <c r="AD8" s="747"/>
      <c r="AE8" s="747"/>
      <c r="AF8" s="749"/>
      <c r="AG8" s="749"/>
      <c r="AH8" s="749"/>
      <c r="AI8" s="13"/>
      <c r="AJ8" s="13"/>
      <c r="AK8" s="13"/>
    </row>
    <row r="9" spans="1:37" s="15" customFormat="1" ht="15.75" customHeight="1" thickBot="1">
      <c r="A9" s="10"/>
      <c r="B9" s="763"/>
      <c r="C9" s="764"/>
      <c r="D9" s="764"/>
      <c r="E9" s="764"/>
      <c r="F9" s="624"/>
      <c r="G9" s="764"/>
      <c r="H9" s="764"/>
      <c r="I9" s="764"/>
      <c r="J9" s="764"/>
      <c r="K9" s="764"/>
      <c r="L9" s="764"/>
      <c r="M9" s="764"/>
      <c r="N9" s="764"/>
      <c r="O9" s="764"/>
      <c r="P9" s="764"/>
      <c r="Q9" s="764"/>
      <c r="R9" s="765"/>
      <c r="S9" s="766"/>
      <c r="T9" s="766"/>
      <c r="U9" s="766"/>
      <c r="V9" s="766"/>
      <c r="W9" s="766"/>
      <c r="X9" s="748"/>
      <c r="Y9" s="766"/>
      <c r="Z9" s="766"/>
      <c r="AA9" s="748"/>
      <c r="AB9" s="766"/>
      <c r="AC9" s="766"/>
      <c r="AD9" s="766"/>
      <c r="AE9" s="766"/>
      <c r="AF9" s="767"/>
      <c r="AG9" s="767"/>
      <c r="AH9" s="767"/>
      <c r="AI9" s="10"/>
      <c r="AJ9" s="10"/>
      <c r="AK9" s="10"/>
    </row>
    <row r="10" spans="1:35" ht="17.25" thickBot="1" thickTop="1">
      <c r="A10" s="10"/>
      <c r="B10" s="768"/>
      <c r="C10" s="768"/>
      <c r="D10" s="769">
        <f ca="1">TODAY()</f>
        <v>38661</v>
      </c>
      <c r="E10" s="770"/>
      <c r="F10" s="770"/>
      <c r="G10" s="771"/>
      <c r="H10" s="772"/>
      <c r="I10" s="773" t="s">
        <v>102</v>
      </c>
      <c r="J10" s="774"/>
      <c r="K10" s="775"/>
      <c r="L10" s="764"/>
      <c r="M10" s="774"/>
      <c r="N10" s="774"/>
      <c r="O10" s="774"/>
      <c r="P10" s="774"/>
      <c r="Q10" s="774"/>
      <c r="R10" s="765"/>
      <c r="S10" s="776"/>
      <c r="T10" s="777"/>
      <c r="U10" s="777"/>
      <c r="V10" s="777"/>
      <c r="W10" s="777"/>
      <c r="X10" s="777"/>
      <c r="Y10" s="777"/>
      <c r="Z10" s="777"/>
      <c r="AA10" s="776"/>
      <c r="AB10" s="776"/>
      <c r="AC10" s="776"/>
      <c r="AD10" s="776"/>
      <c r="AE10" s="776"/>
      <c r="AF10" s="767"/>
      <c r="AG10" s="767"/>
      <c r="AH10" s="767"/>
      <c r="AI10" s="10"/>
    </row>
    <row r="11" spans="1:35" ht="22.5" customHeight="1" thickBot="1" thickTop="1">
      <c r="A11" s="10"/>
      <c r="B11" s="764"/>
      <c r="C11" s="778"/>
      <c r="D11" s="778"/>
      <c r="E11" s="778"/>
      <c r="F11" s="771"/>
      <c r="G11" s="779"/>
      <c r="H11" s="780"/>
      <c r="I11" s="781" t="s">
        <v>101</v>
      </c>
      <c r="J11" s="720">
        <v>0</v>
      </c>
      <c r="K11" s="775"/>
      <c r="L11" s="764"/>
      <c r="M11" s="774"/>
      <c r="N11" s="774"/>
      <c r="O11" s="774"/>
      <c r="P11" s="774"/>
      <c r="Q11" s="774"/>
      <c r="R11" s="765"/>
      <c r="S11" s="776"/>
      <c r="T11" s="777"/>
      <c r="U11" s="777"/>
      <c r="V11" s="777"/>
      <c r="W11" s="777"/>
      <c r="X11" s="777"/>
      <c r="Y11" s="777"/>
      <c r="Z11" s="777"/>
      <c r="AA11" s="776"/>
      <c r="AB11" s="776"/>
      <c r="AC11" s="776"/>
      <c r="AD11" s="776"/>
      <c r="AE11" s="776"/>
      <c r="AF11" s="767"/>
      <c r="AG11" s="767"/>
      <c r="AH11" s="767"/>
      <c r="AI11" s="10"/>
    </row>
    <row r="12" spans="1:35" ht="18.75" thickTop="1">
      <c r="A12" s="10"/>
      <c r="B12" s="764"/>
      <c r="C12" s="778"/>
      <c r="D12" s="778"/>
      <c r="E12" s="778"/>
      <c r="F12" s="624" t="str">
        <f>IF('Terms of Use'!$H$31='Terms of Use'!$O$2,"   **UNAUTHORISED USER!  THIS DOCUMENT WILL NOT CALCULATE ACCURATELY**",0)</f>
        <v>   **UNAUTHORISED USER!  THIS DOCUMENT WILL NOT CALCULATE ACCURATELY**</v>
      </c>
      <c r="G12" s="778"/>
      <c r="H12" s="778"/>
      <c r="I12" s="782"/>
      <c r="J12" s="783"/>
      <c r="K12" s="775"/>
      <c r="L12" s="764"/>
      <c r="M12" s="774"/>
      <c r="N12" s="774"/>
      <c r="O12" s="774"/>
      <c r="P12" s="774"/>
      <c r="Q12" s="774"/>
      <c r="R12" s="765"/>
      <c r="S12" s="776"/>
      <c r="T12" s="777"/>
      <c r="U12" s="777"/>
      <c r="V12" s="777"/>
      <c r="W12" s="777"/>
      <c r="X12" s="777"/>
      <c r="Y12" s="777"/>
      <c r="Z12" s="777"/>
      <c r="AA12" s="776"/>
      <c r="AB12" s="776"/>
      <c r="AC12" s="776"/>
      <c r="AD12" s="776"/>
      <c r="AE12" s="776"/>
      <c r="AF12" s="767"/>
      <c r="AG12" s="767"/>
      <c r="AH12" s="767"/>
      <c r="AI12" s="10"/>
    </row>
    <row r="13" spans="1:35" ht="18">
      <c r="A13" s="10"/>
      <c r="B13" s="784" t="s">
        <v>112</v>
      </c>
      <c r="C13" s="778"/>
      <c r="D13" s="778"/>
      <c r="E13" s="778"/>
      <c r="F13" s="785" t="s">
        <v>88</v>
      </c>
      <c r="G13" s="786"/>
      <c r="H13" s="778"/>
      <c r="I13" s="787" t="s">
        <v>103</v>
      </c>
      <c r="J13" s="788"/>
      <c r="K13" s="772"/>
      <c r="L13" s="789" t="s">
        <v>107</v>
      </c>
      <c r="M13" s="790"/>
      <c r="N13" s="791"/>
      <c r="O13" s="792" t="s">
        <v>185</v>
      </c>
      <c r="P13" s="793"/>
      <c r="Q13" s="774"/>
      <c r="R13" s="765"/>
      <c r="S13" s="776"/>
      <c r="T13" s="777"/>
      <c r="U13" s="777"/>
      <c r="V13" s="777"/>
      <c r="W13" s="777"/>
      <c r="X13" s="794" t="s">
        <v>88</v>
      </c>
      <c r="Y13" s="795"/>
      <c r="Z13" s="777"/>
      <c r="AA13" s="796" t="s">
        <v>103</v>
      </c>
      <c r="AB13" s="797"/>
      <c r="AC13" s="776"/>
      <c r="AD13" s="798" t="s">
        <v>107</v>
      </c>
      <c r="AE13" s="799"/>
      <c r="AF13" s="800"/>
      <c r="AG13" s="798" t="s">
        <v>185</v>
      </c>
      <c r="AH13" s="799"/>
      <c r="AI13" s="10"/>
    </row>
    <row r="14" spans="1:35" ht="18">
      <c r="A14" s="10"/>
      <c r="B14" s="784" t="s">
        <v>111</v>
      </c>
      <c r="C14" s="778"/>
      <c r="D14" s="778"/>
      <c r="E14" s="778"/>
      <c r="F14" s="801" t="s">
        <v>100</v>
      </c>
      <c r="G14" s="802"/>
      <c r="H14" s="778"/>
      <c r="I14" s="803" t="s">
        <v>39</v>
      </c>
      <c r="J14" s="804"/>
      <c r="K14" s="772"/>
      <c r="L14" s="805" t="s">
        <v>39</v>
      </c>
      <c r="M14" s="804"/>
      <c r="N14" s="466"/>
      <c r="O14" s="806" t="s">
        <v>41</v>
      </c>
      <c r="P14" s="470">
        <f>$U$22</f>
        <v>38596</v>
      </c>
      <c r="Q14" s="774"/>
      <c r="R14" s="765"/>
      <c r="S14" s="776"/>
      <c r="T14" s="777"/>
      <c r="U14" s="777"/>
      <c r="V14" s="777"/>
      <c r="W14" s="777"/>
      <c r="X14" s="807" t="s">
        <v>100</v>
      </c>
      <c r="Y14" s="808"/>
      <c r="Z14" s="777"/>
      <c r="AA14" s="809" t="s">
        <v>40</v>
      </c>
      <c r="AB14" s="438">
        <f>$U$22</f>
        <v>38596</v>
      </c>
      <c r="AC14" s="776"/>
      <c r="AD14" s="810" t="s">
        <v>41</v>
      </c>
      <c r="AE14" s="438">
        <f>$U$22</f>
        <v>38596</v>
      </c>
      <c r="AF14" s="800"/>
      <c r="AG14" s="810" t="s">
        <v>41</v>
      </c>
      <c r="AH14" s="438">
        <f>$U$22</f>
        <v>38596</v>
      </c>
      <c r="AI14" s="10"/>
    </row>
    <row r="15" spans="1:35" ht="15">
      <c r="A15" s="10"/>
      <c r="B15" s="764"/>
      <c r="C15" s="764"/>
      <c r="D15" s="764"/>
      <c r="E15" s="764"/>
      <c r="F15" s="803" t="s">
        <v>39</v>
      </c>
      <c r="G15" s="804"/>
      <c r="H15" s="764"/>
      <c r="I15" s="803" t="s">
        <v>42</v>
      </c>
      <c r="J15" s="811"/>
      <c r="K15" s="772"/>
      <c r="L15" s="805" t="s">
        <v>42</v>
      </c>
      <c r="M15" s="812"/>
      <c r="N15" s="791"/>
      <c r="O15" s="806"/>
      <c r="P15" s="813"/>
      <c r="Q15" s="774"/>
      <c r="R15" s="765"/>
      <c r="S15" s="776"/>
      <c r="T15" s="777"/>
      <c r="U15" s="777"/>
      <c r="V15" s="777"/>
      <c r="W15" s="777"/>
      <c r="X15" s="814" t="s">
        <v>39</v>
      </c>
      <c r="Y15" s="440"/>
      <c r="Z15" s="777"/>
      <c r="AA15" s="809"/>
      <c r="AB15" s="815"/>
      <c r="AC15" s="776"/>
      <c r="AD15" s="810"/>
      <c r="AE15" s="816"/>
      <c r="AF15" s="800"/>
      <c r="AG15" s="810"/>
      <c r="AH15" s="816"/>
      <c r="AI15" s="10"/>
    </row>
    <row r="16" spans="1:35" ht="15">
      <c r="A16" s="10"/>
      <c r="B16" s="817"/>
      <c r="C16" s="818" t="s">
        <v>248</v>
      </c>
      <c r="D16" s="819"/>
      <c r="E16" s="820"/>
      <c r="F16" s="803" t="s">
        <v>42</v>
      </c>
      <c r="G16" s="811"/>
      <c r="H16" s="764"/>
      <c r="I16" s="821" t="s">
        <v>44</v>
      </c>
      <c r="J16" s="437">
        <f>($D$22)</f>
        <v>38596</v>
      </c>
      <c r="K16" s="774"/>
      <c r="L16" s="822" t="s">
        <v>44</v>
      </c>
      <c r="M16" s="437">
        <f>($D$22)</f>
        <v>38596</v>
      </c>
      <c r="N16" s="466"/>
      <c r="O16" s="823"/>
      <c r="P16" s="824"/>
      <c r="Q16" s="774"/>
      <c r="R16" s="765"/>
      <c r="S16" s="776"/>
      <c r="T16" s="825" t="s">
        <v>43</v>
      </c>
      <c r="U16" s="826"/>
      <c r="V16" s="827"/>
      <c r="W16" s="777"/>
      <c r="X16" s="814" t="s">
        <v>42</v>
      </c>
      <c r="Y16" s="828"/>
      <c r="Z16" s="777"/>
      <c r="AA16" s="829"/>
      <c r="AB16" s="830"/>
      <c r="AC16" s="776"/>
      <c r="AD16" s="831"/>
      <c r="AE16" s="832"/>
      <c r="AF16" s="800"/>
      <c r="AG16" s="831"/>
      <c r="AH16" s="832"/>
      <c r="AI16" s="10"/>
    </row>
    <row r="17" spans="1:35" ht="15">
      <c r="A17" s="10"/>
      <c r="B17" s="833"/>
      <c r="C17" s="834" t="s">
        <v>250</v>
      </c>
      <c r="D17" s="835"/>
      <c r="E17" s="820"/>
      <c r="F17" s="836" t="s">
        <v>44</v>
      </c>
      <c r="G17" s="437">
        <f>($D$22)</f>
        <v>38596</v>
      </c>
      <c r="H17" s="764"/>
      <c r="I17" s="837">
        <v>1</v>
      </c>
      <c r="J17" s="425">
        <f>IF('Terms of Use'!$Z$67=1,(AB17+(AB17*$J$11)),(AB17+(AB17*$J$11)-550))</f>
        <v>32979</v>
      </c>
      <c r="K17" s="774"/>
      <c r="L17" s="837">
        <v>1</v>
      </c>
      <c r="M17" s="428">
        <f>IF('Terms of Use'!$Z$67=1,(AE17+(AE17*$J$11)),(AE17+(AE17*$J$11)-550))</f>
        <v>35889</v>
      </c>
      <c r="N17" s="467"/>
      <c r="O17" s="838">
        <v>1</v>
      </c>
      <c r="P17" s="428">
        <f>IF('Terms of Use'!$Z$67=1,(AH17+(AH17*$J$11)),(AH17+(AH17*$J$11)-550))</f>
        <v>16677</v>
      </c>
      <c r="Q17" s="774"/>
      <c r="R17" s="765"/>
      <c r="S17" s="776"/>
      <c r="T17" s="839" t="s">
        <v>11</v>
      </c>
      <c r="U17" s="840"/>
      <c r="V17" s="841"/>
      <c r="W17" s="777"/>
      <c r="X17" s="842" t="s">
        <v>44</v>
      </c>
      <c r="Y17" s="439">
        <f>$U$22</f>
        <v>38596</v>
      </c>
      <c r="Z17" s="777"/>
      <c r="AA17" s="843">
        <v>1</v>
      </c>
      <c r="AB17" s="724">
        <v>32979</v>
      </c>
      <c r="AC17" s="776"/>
      <c r="AD17" s="844">
        <v>1</v>
      </c>
      <c r="AE17" s="729">
        <v>35889</v>
      </c>
      <c r="AF17" s="800"/>
      <c r="AG17" s="844">
        <v>1</v>
      </c>
      <c r="AH17" s="729">
        <v>16677</v>
      </c>
      <c r="AI17" s="10"/>
    </row>
    <row r="18" spans="1:35" ht="15">
      <c r="A18" s="10"/>
      <c r="B18" s="845"/>
      <c r="C18" s="846" t="s">
        <v>249</v>
      </c>
      <c r="D18" s="835"/>
      <c r="E18" s="820"/>
      <c r="F18" s="837">
        <v>1</v>
      </c>
      <c r="G18" s="425">
        <f>IF('Terms of Use'!$Z$67=1,(Y18+(Y18*$J$11)),(Y18+(Y18*$J$11)-550))</f>
        <v>34131</v>
      </c>
      <c r="H18" s="764"/>
      <c r="I18" s="847">
        <v>2</v>
      </c>
      <c r="J18" s="427">
        <f>IF('Terms of Use'!$Z$67=1,(AB18+(AB18*$J$11)),(AB18+(AB18*$J$11)-550))</f>
        <v>34101</v>
      </c>
      <c r="K18" s="774"/>
      <c r="L18" s="848">
        <v>2</v>
      </c>
      <c r="M18" s="428">
        <f>IF('Terms of Use'!$Z$67=1,(AE18+(AE18*$J$11)),(AE18+(AE18*$J$11)-550))</f>
        <v>36723</v>
      </c>
      <c r="N18" s="467"/>
      <c r="O18" s="849">
        <v>2</v>
      </c>
      <c r="P18" s="428">
        <f>IF('Terms of Use'!$Z$67=1,(AH18+(AH18*$J$11)),(AH18+(AH18*$J$11)-550))</f>
        <v>17307</v>
      </c>
      <c r="Q18" s="774"/>
      <c r="R18" s="765"/>
      <c r="S18" s="776"/>
      <c r="T18" s="850" t="s">
        <v>45</v>
      </c>
      <c r="U18" s="840"/>
      <c r="V18" s="841"/>
      <c r="W18" s="777"/>
      <c r="X18" s="843">
        <v>1</v>
      </c>
      <c r="Y18" s="722">
        <v>34131</v>
      </c>
      <c r="Z18" s="777"/>
      <c r="AA18" s="843">
        <v>2</v>
      </c>
      <c r="AB18" s="724">
        <v>34101</v>
      </c>
      <c r="AC18" s="776"/>
      <c r="AD18" s="851">
        <v>2</v>
      </c>
      <c r="AE18" s="725">
        <v>36723</v>
      </c>
      <c r="AF18" s="800"/>
      <c r="AG18" s="851">
        <v>2</v>
      </c>
      <c r="AH18" s="725">
        <v>17307</v>
      </c>
      <c r="AI18" s="10"/>
    </row>
    <row r="19" spans="1:35" ht="15">
      <c r="A19" s="10"/>
      <c r="B19" s="852"/>
      <c r="C19" s="853"/>
      <c r="D19" s="854"/>
      <c r="E19" s="820"/>
      <c r="F19" s="847">
        <v>2</v>
      </c>
      <c r="G19" s="425">
        <f>IF('Terms of Use'!$Z$67=1,(Y19+(Y19*$J$11)),(Y19+(Y19*$J$11)-550))</f>
        <v>34692</v>
      </c>
      <c r="H19" s="764"/>
      <c r="I19" s="847">
        <v>3</v>
      </c>
      <c r="J19" s="427">
        <f>IF('Terms of Use'!$Z$67=1,(AB19+(AB19*$J$11)),(AB19+(AB19*$J$11)-550))</f>
        <v>35268</v>
      </c>
      <c r="K19" s="774"/>
      <c r="L19" s="848">
        <v>3</v>
      </c>
      <c r="M19" s="428">
        <f>IF('Terms of Use'!$Z$67=1,(AE19+(AE19*$J$11)),(AE19+(AE19*$J$11)-550))</f>
        <v>37572</v>
      </c>
      <c r="N19" s="467"/>
      <c r="O19" s="849">
        <v>3</v>
      </c>
      <c r="P19" s="428">
        <f>IF('Terms of Use'!$Z$67=1,(AH19+(AH19*$J$11)),(AH19+(AH19*$J$11)-550))</f>
        <v>17919</v>
      </c>
      <c r="Q19" s="774"/>
      <c r="R19" s="765"/>
      <c r="S19" s="776"/>
      <c r="T19" s="855"/>
      <c r="U19" s="856"/>
      <c r="V19" s="857"/>
      <c r="W19" s="777"/>
      <c r="X19" s="858">
        <v>2</v>
      </c>
      <c r="Y19" s="722">
        <v>34692</v>
      </c>
      <c r="Z19" s="777"/>
      <c r="AA19" s="843">
        <v>3</v>
      </c>
      <c r="AB19" s="724">
        <v>35268</v>
      </c>
      <c r="AC19" s="776"/>
      <c r="AD19" s="851">
        <v>3</v>
      </c>
      <c r="AE19" s="725">
        <v>37572</v>
      </c>
      <c r="AF19" s="800"/>
      <c r="AG19" s="851">
        <v>3</v>
      </c>
      <c r="AH19" s="725">
        <v>17919</v>
      </c>
      <c r="AI19" s="10"/>
    </row>
    <row r="20" spans="1:35" ht="15">
      <c r="A20" s="10"/>
      <c r="B20" s="803" t="s">
        <v>39</v>
      </c>
      <c r="C20" s="764"/>
      <c r="D20" s="427"/>
      <c r="E20" s="820"/>
      <c r="F20" s="847">
        <v>3</v>
      </c>
      <c r="G20" s="425">
        <f>IF('Terms of Use'!$Z$67=1,(Y20+(Y20*$J$11)),(Y20+(Y20*$J$11)-550))</f>
        <v>35259</v>
      </c>
      <c r="H20" s="764"/>
      <c r="I20" s="847">
        <v>4</v>
      </c>
      <c r="J20" s="427">
        <f>IF('Terms of Use'!$Z$67=1,(AB20+(AB20*$J$11)),(AB20+(AB20*$J$11)-550))</f>
        <v>35268</v>
      </c>
      <c r="K20" s="774"/>
      <c r="L20" s="859">
        <v>4</v>
      </c>
      <c r="M20" s="428">
        <f>IF('Terms of Use'!$Z$67=1,(AE20+(AE20*$J$11)),(AE20+(AE20*$J$11)-550))</f>
        <v>38448</v>
      </c>
      <c r="N20" s="467"/>
      <c r="O20" s="849">
        <v>4</v>
      </c>
      <c r="P20" s="428">
        <f>IF('Terms of Use'!$Z$67=1,(AH20+(AH20*$J$11)),(AH20+(AH20*$J$11)-550))</f>
        <v>18555</v>
      </c>
      <c r="Q20" s="774"/>
      <c r="R20" s="765"/>
      <c r="S20" s="776"/>
      <c r="T20" s="860"/>
      <c r="U20" s="776"/>
      <c r="V20" s="861"/>
      <c r="W20" s="777"/>
      <c r="X20" s="858">
        <v>3</v>
      </c>
      <c r="Y20" s="722">
        <v>35259</v>
      </c>
      <c r="Z20" s="777"/>
      <c r="AA20" s="843">
        <v>4</v>
      </c>
      <c r="AB20" s="724">
        <v>35268</v>
      </c>
      <c r="AC20" s="776"/>
      <c r="AD20" s="862">
        <v>4</v>
      </c>
      <c r="AE20" s="725">
        <v>38448</v>
      </c>
      <c r="AF20" s="800"/>
      <c r="AG20" s="862">
        <v>4</v>
      </c>
      <c r="AH20" s="725">
        <v>18555</v>
      </c>
      <c r="AI20" s="10"/>
    </row>
    <row r="21" spans="1:35" ht="15">
      <c r="A21" s="10"/>
      <c r="B21" s="803" t="s">
        <v>42</v>
      </c>
      <c r="C21" s="764"/>
      <c r="D21" s="427"/>
      <c r="E21" s="820"/>
      <c r="F21" s="847">
        <v>4</v>
      </c>
      <c r="G21" s="425">
        <f>IF('Terms of Use'!$Z$67=1,(Y21+(Y21*$J$11)),(Y21+(Y21*$J$11)-550))</f>
        <v>25814</v>
      </c>
      <c r="H21" s="764"/>
      <c r="I21" s="847">
        <v>5</v>
      </c>
      <c r="J21" s="427">
        <f>IF('Terms of Use'!$Z$67=1,(AB21+(AB21*$J$11)),(AB21+(AB21*$J$11)-550))</f>
        <v>35268</v>
      </c>
      <c r="K21" s="774"/>
      <c r="L21" s="848">
        <v>5</v>
      </c>
      <c r="M21" s="428">
        <f>IF('Terms of Use'!$Z$67=1,(AE21+(AE21*$J$11)),(AE21+(AE21*$J$11)-550))</f>
        <v>39339</v>
      </c>
      <c r="N21" s="467"/>
      <c r="O21" s="849">
        <v>5</v>
      </c>
      <c r="P21" s="428">
        <f>IF('Terms of Use'!$Z$67=1,(AH21+(AH21*$J$11)),(AH21+(AH21*$J$11)-550))</f>
        <v>19197</v>
      </c>
      <c r="Q21" s="774"/>
      <c r="R21" s="765"/>
      <c r="S21" s="776"/>
      <c r="T21" s="860"/>
      <c r="U21" s="776"/>
      <c r="V21" s="861"/>
      <c r="W21" s="777"/>
      <c r="X21" s="858">
        <v>4</v>
      </c>
      <c r="Y21" s="722">
        <v>25814</v>
      </c>
      <c r="Z21" s="777"/>
      <c r="AA21" s="843">
        <v>5</v>
      </c>
      <c r="AB21" s="724">
        <v>35268</v>
      </c>
      <c r="AC21" s="776"/>
      <c r="AD21" s="851">
        <v>5</v>
      </c>
      <c r="AE21" s="725">
        <v>39339</v>
      </c>
      <c r="AF21" s="800"/>
      <c r="AG21" s="851">
        <v>5</v>
      </c>
      <c r="AH21" s="725">
        <v>19197</v>
      </c>
      <c r="AI21" s="10"/>
    </row>
    <row r="22" spans="1:35" ht="15.75">
      <c r="A22" s="10"/>
      <c r="B22" s="821" t="s">
        <v>44</v>
      </c>
      <c r="C22" s="778"/>
      <c r="D22" s="719">
        <v>38596</v>
      </c>
      <c r="E22" s="820"/>
      <c r="F22" s="847">
        <v>5</v>
      </c>
      <c r="G22" s="425">
        <f>IF('Terms of Use'!$Z$67=1,(Y22+(Y22*$J$11)),(Y22+(Y22*$J$11)-550))</f>
        <v>36375</v>
      </c>
      <c r="H22" s="764"/>
      <c r="I22" s="847"/>
      <c r="J22" s="427"/>
      <c r="K22" s="774"/>
      <c r="L22" s="863">
        <v>6</v>
      </c>
      <c r="M22" s="428">
        <f>IF('Terms of Use'!$Z$67=1,(AE22+(AE22*$J$11)),(AE22+(AE22*$J$11)-550))</f>
        <v>40257</v>
      </c>
      <c r="N22" s="467"/>
      <c r="O22" s="864">
        <v>6</v>
      </c>
      <c r="P22" s="428">
        <f>IF('Terms of Use'!$Z$67=1,(AH22+(AH22*$J$11)),(AH22+(AH22*$J$11)-550))</f>
        <v>19812</v>
      </c>
      <c r="Q22" s="774"/>
      <c r="R22" s="765"/>
      <c r="S22" s="766"/>
      <c r="T22" s="865" t="s">
        <v>46</v>
      </c>
      <c r="U22" s="721">
        <v>38596</v>
      </c>
      <c r="V22" s="866"/>
      <c r="W22" s="867"/>
      <c r="X22" s="858">
        <v>5</v>
      </c>
      <c r="Y22" s="722">
        <v>36375</v>
      </c>
      <c r="Z22" s="867"/>
      <c r="AA22" s="858"/>
      <c r="AB22" s="868"/>
      <c r="AC22" s="776"/>
      <c r="AD22" s="869">
        <v>6</v>
      </c>
      <c r="AE22" s="725">
        <v>40257</v>
      </c>
      <c r="AF22" s="800"/>
      <c r="AG22" s="869">
        <v>6</v>
      </c>
      <c r="AH22" s="725">
        <v>19812</v>
      </c>
      <c r="AI22" s="10"/>
    </row>
    <row r="23" spans="1:35" ht="15">
      <c r="A23" s="10"/>
      <c r="B23" s="870"/>
      <c r="C23" s="764"/>
      <c r="D23" s="871"/>
      <c r="E23" s="820"/>
      <c r="F23" s="847">
        <v>6</v>
      </c>
      <c r="G23" s="425">
        <f>IF('Terms of Use'!$Z$67=1,(Y23+(Y23*$J$11)),(Y23+(Y23*$J$11)-550))</f>
        <v>36945</v>
      </c>
      <c r="H23" s="764"/>
      <c r="I23" s="872"/>
      <c r="J23" s="873"/>
      <c r="K23" s="774"/>
      <c r="L23" s="874">
        <v>7</v>
      </c>
      <c r="M23" s="428">
        <f>IF('Terms of Use'!$Z$67=1,(AE23+(AE23*$J$11)),(AE23+(AE23*$J$11)-550))</f>
        <v>41274</v>
      </c>
      <c r="N23" s="467"/>
      <c r="O23" s="849">
        <v>7</v>
      </c>
      <c r="P23" s="428">
        <f>IF('Terms of Use'!$Z$67=1,(AH23+(AH23*$J$11)),(AH23+(AH23*$J$11)-550))</f>
        <v>20445</v>
      </c>
      <c r="Q23" s="774"/>
      <c r="R23" s="765"/>
      <c r="S23" s="766"/>
      <c r="T23" s="875"/>
      <c r="U23" s="766"/>
      <c r="V23" s="876"/>
      <c r="W23" s="867"/>
      <c r="X23" s="858">
        <v>6</v>
      </c>
      <c r="Y23" s="722">
        <v>36945</v>
      </c>
      <c r="Z23" s="867"/>
      <c r="AA23" s="877"/>
      <c r="AB23" s="878"/>
      <c r="AC23" s="776"/>
      <c r="AD23" s="879">
        <v>7</v>
      </c>
      <c r="AE23" s="730">
        <v>41274</v>
      </c>
      <c r="AF23" s="800"/>
      <c r="AG23" s="879">
        <v>7</v>
      </c>
      <c r="AH23" s="730">
        <v>20445</v>
      </c>
      <c r="AI23" s="10"/>
    </row>
    <row r="24" spans="1:35" ht="15">
      <c r="A24" s="10"/>
      <c r="B24" s="880"/>
      <c r="C24" s="778"/>
      <c r="D24" s="427"/>
      <c r="E24" s="820"/>
      <c r="F24" s="847">
        <v>7</v>
      </c>
      <c r="G24" s="425">
        <f>IF('Terms of Use'!$Z$67=1,(Y24+(Y24*$J$11)),(Y24+(Y24*$J$11)-550))</f>
        <v>37509</v>
      </c>
      <c r="H24" s="764"/>
      <c r="I24" s="881" t="s">
        <v>175</v>
      </c>
      <c r="J24" s="882"/>
      <c r="K24" s="774"/>
      <c r="L24" s="848">
        <v>8</v>
      </c>
      <c r="M24" s="428">
        <f>IF('Terms of Use'!$Z$67=1,(AE24+(AE24*$J$11)),(AE24+(AE24*$J$11)-550))</f>
        <v>42162</v>
      </c>
      <c r="N24" s="467"/>
      <c r="O24" s="849">
        <v>8</v>
      </c>
      <c r="P24" s="428">
        <f>IF('Terms of Use'!$Z$67=1,(AH24+(AH24*$J$11)),(AH24+(AH24*$J$11)-550))</f>
        <v>21918</v>
      </c>
      <c r="Q24" s="774"/>
      <c r="R24" s="765"/>
      <c r="S24" s="766"/>
      <c r="T24" s="883"/>
      <c r="U24" s="884"/>
      <c r="V24" s="868"/>
      <c r="W24" s="867"/>
      <c r="X24" s="858">
        <v>7</v>
      </c>
      <c r="Y24" s="722">
        <v>37509</v>
      </c>
      <c r="Z24" s="867"/>
      <c r="AA24" s="885" t="s">
        <v>175</v>
      </c>
      <c r="AB24" s="886"/>
      <c r="AC24" s="776"/>
      <c r="AD24" s="851">
        <v>8</v>
      </c>
      <c r="AE24" s="725">
        <v>42162</v>
      </c>
      <c r="AF24" s="800"/>
      <c r="AG24" s="851">
        <v>8</v>
      </c>
      <c r="AH24" s="725">
        <v>21918</v>
      </c>
      <c r="AI24" s="10"/>
    </row>
    <row r="25" spans="1:35" ht="15">
      <c r="A25" s="10"/>
      <c r="B25" s="887"/>
      <c r="C25" s="888"/>
      <c r="D25" s="889"/>
      <c r="E25" s="820"/>
      <c r="F25" s="847">
        <v>8</v>
      </c>
      <c r="G25" s="425">
        <f>IF('Terms of Use'!$Z$67=1,(Y25+(Y25*$J$11)),(Y25+(Y25*$J$11)-550))</f>
        <v>38073</v>
      </c>
      <c r="H25" s="764"/>
      <c r="I25" s="872">
        <v>1</v>
      </c>
      <c r="J25" s="873">
        <f>IF('Terms of Use'!$Z$67=1,(AB25+(AB25*$J$11)),(AB25+(AB25*$J$11)-550))</f>
        <v>1638</v>
      </c>
      <c r="K25" s="774"/>
      <c r="L25" s="848">
        <v>9</v>
      </c>
      <c r="M25" s="428">
        <f>IF('Terms of Use'!$Z$67=1,(AE25+(AE25*$J$11)),(AE25+(AE25*$J$11)-550))</f>
        <v>43149</v>
      </c>
      <c r="N25" s="467"/>
      <c r="O25" s="849">
        <v>9</v>
      </c>
      <c r="P25" s="428">
        <f>IF('Terms of Use'!$Z$67=1,(AH25+(AH25*$J$11)),(AH25+(AH25*$J$11)-550))</f>
        <v>23589</v>
      </c>
      <c r="Q25" s="774"/>
      <c r="R25" s="765"/>
      <c r="S25" s="766"/>
      <c r="T25" s="890"/>
      <c r="U25" s="891"/>
      <c r="V25" s="892"/>
      <c r="W25" s="867"/>
      <c r="X25" s="858">
        <v>8</v>
      </c>
      <c r="Y25" s="722">
        <v>38073</v>
      </c>
      <c r="Z25" s="867"/>
      <c r="AA25" s="858">
        <v>1</v>
      </c>
      <c r="AB25" s="724">
        <v>1638</v>
      </c>
      <c r="AC25" s="776"/>
      <c r="AD25" s="851">
        <v>9</v>
      </c>
      <c r="AE25" s="725">
        <v>43149</v>
      </c>
      <c r="AF25" s="800"/>
      <c r="AG25" s="851">
        <v>9</v>
      </c>
      <c r="AH25" s="725">
        <v>23589</v>
      </c>
      <c r="AI25" s="10"/>
    </row>
    <row r="26" spans="1:35" ht="15">
      <c r="A26" s="10"/>
      <c r="B26" s="893"/>
      <c r="C26" s="764"/>
      <c r="D26" s="894"/>
      <c r="E26" s="820"/>
      <c r="F26" s="847">
        <v>9</v>
      </c>
      <c r="G26" s="425">
        <f>IF('Terms of Use'!$Z$67=1,(Y26+(Y26*$J$11)),(Y26+(Y26*$J$11)-550))</f>
        <v>38631</v>
      </c>
      <c r="H26" s="764"/>
      <c r="I26" s="872">
        <v>2</v>
      </c>
      <c r="J26" s="873">
        <f>IF('Terms of Use'!$Z$67=1,(AB26+(AB26*$J$11)),(AB26+(AB26*$J$11)-550))</f>
        <v>3312</v>
      </c>
      <c r="K26" s="774"/>
      <c r="L26" s="848">
        <v>10</v>
      </c>
      <c r="M26" s="428">
        <f>IF('Terms of Use'!$Z$67=1,(AE26+(AE26*$J$11)),(AE26+(AE26*$J$11)-550))</f>
        <v>44190</v>
      </c>
      <c r="N26" s="467"/>
      <c r="O26" s="849">
        <v>10</v>
      </c>
      <c r="P26" s="428">
        <f>IF('Terms of Use'!$Z$67=1,(AH26+(AH26*$J$11)),(AH26+(AH26*$J$11)-550))</f>
        <v>24843</v>
      </c>
      <c r="Q26" s="774"/>
      <c r="R26" s="765"/>
      <c r="S26" s="766"/>
      <c r="T26" s="895"/>
      <c r="U26" s="766"/>
      <c r="V26" s="896"/>
      <c r="W26" s="867"/>
      <c r="X26" s="858">
        <v>9</v>
      </c>
      <c r="Y26" s="722">
        <v>38631</v>
      </c>
      <c r="Z26" s="867"/>
      <c r="AA26" s="858">
        <v>2</v>
      </c>
      <c r="AB26" s="724">
        <v>3312</v>
      </c>
      <c r="AC26" s="776"/>
      <c r="AD26" s="851">
        <v>10</v>
      </c>
      <c r="AE26" s="725">
        <v>44190</v>
      </c>
      <c r="AF26" s="800"/>
      <c r="AG26" s="851">
        <v>10</v>
      </c>
      <c r="AH26" s="725">
        <v>24843</v>
      </c>
      <c r="AI26" s="10"/>
    </row>
    <row r="27" spans="1:35" ht="15">
      <c r="A27" s="10"/>
      <c r="B27" s="897" t="s">
        <v>6</v>
      </c>
      <c r="C27" s="778">
        <v>0</v>
      </c>
      <c r="D27" s="426">
        <v>0</v>
      </c>
      <c r="E27" s="820"/>
      <c r="F27" s="847">
        <v>10</v>
      </c>
      <c r="G27" s="425">
        <f>IF('Terms of Use'!$Z$67=1,(Y27+(Y27*$J$11)),(Y27+(Y27*$J$11)-550))</f>
        <v>39189</v>
      </c>
      <c r="H27" s="764"/>
      <c r="I27" s="872">
        <v>3</v>
      </c>
      <c r="J27" s="873">
        <f>IF('Terms of Use'!$Z$67=1,(AB27+(AB27*$J$11)),(AB27+(AB27*$J$11)-550))</f>
        <v>5688</v>
      </c>
      <c r="K27" s="774"/>
      <c r="L27" s="848">
        <v>11</v>
      </c>
      <c r="M27" s="428">
        <f>IF('Terms of Use'!$Z$67=1,(AE27+(AE27*$J$11)),(AE27+(AE27*$J$11)-550))</f>
        <v>45264</v>
      </c>
      <c r="N27" s="467"/>
      <c r="O27" s="898"/>
      <c r="P27" s="898"/>
      <c r="Q27" s="774"/>
      <c r="R27" s="765"/>
      <c r="S27" s="766"/>
      <c r="T27" s="899" t="s">
        <v>6</v>
      </c>
      <c r="U27" s="884">
        <v>0</v>
      </c>
      <c r="V27" s="722"/>
      <c r="W27" s="867"/>
      <c r="X27" s="858">
        <v>10</v>
      </c>
      <c r="Y27" s="722">
        <v>39189</v>
      </c>
      <c r="Z27" s="867"/>
      <c r="AA27" s="858">
        <v>3</v>
      </c>
      <c r="AB27" s="724">
        <v>5688</v>
      </c>
      <c r="AC27" s="776"/>
      <c r="AD27" s="851">
        <v>11</v>
      </c>
      <c r="AE27" s="725">
        <v>45264</v>
      </c>
      <c r="AF27" s="800"/>
      <c r="AG27" s="900"/>
      <c r="AH27" s="900"/>
      <c r="AI27" s="10"/>
    </row>
    <row r="28" spans="1:35" ht="15">
      <c r="A28" s="10"/>
      <c r="B28" s="897"/>
      <c r="C28" s="901">
        <v>0.5</v>
      </c>
      <c r="D28" s="426"/>
      <c r="E28" s="820"/>
      <c r="F28" s="847">
        <v>11</v>
      </c>
      <c r="G28" s="425">
        <f>IF('Terms of Use'!$Z$67=1,(Y28+(Y28*$J$11)),(Y28+(Y28*$J$11)-550))</f>
        <v>39753</v>
      </c>
      <c r="H28" s="764"/>
      <c r="I28" s="872">
        <v>4</v>
      </c>
      <c r="J28" s="873">
        <f>IF('Terms of Use'!$Z$67=1,(AB28+(AB28*$J$11)),(AB28+(AB28*$J$11)-550))</f>
        <v>7833</v>
      </c>
      <c r="K28" s="774"/>
      <c r="L28" s="848">
        <v>12</v>
      </c>
      <c r="M28" s="428">
        <f>IF('Terms of Use'!$Z$67=1,(AE28+(AE28*$J$11)),(AE28+(AE28*$J$11)-550))</f>
        <v>46251</v>
      </c>
      <c r="N28" s="467"/>
      <c r="O28" s="467"/>
      <c r="P28" s="467"/>
      <c r="Q28" s="774"/>
      <c r="R28" s="765"/>
      <c r="S28" s="766"/>
      <c r="T28" s="899"/>
      <c r="U28" s="902">
        <v>0.5</v>
      </c>
      <c r="V28" s="722"/>
      <c r="W28" s="867"/>
      <c r="X28" s="858">
        <v>11</v>
      </c>
      <c r="Y28" s="722">
        <v>39753</v>
      </c>
      <c r="Z28" s="867"/>
      <c r="AA28" s="858">
        <v>4</v>
      </c>
      <c r="AB28" s="724">
        <v>7833</v>
      </c>
      <c r="AC28" s="776"/>
      <c r="AD28" s="851">
        <v>12</v>
      </c>
      <c r="AE28" s="725">
        <v>46251</v>
      </c>
      <c r="AF28" s="800"/>
      <c r="AG28" s="800"/>
      <c r="AH28" s="800"/>
      <c r="AI28" s="10"/>
    </row>
    <row r="29" spans="1:35" ht="15">
      <c r="A29" s="10"/>
      <c r="B29" s="897" t="s">
        <v>6</v>
      </c>
      <c r="C29" s="778">
        <v>1</v>
      </c>
      <c r="D29" s="625">
        <f>IF('Terms of Use'!$Z$67=1,(V29+(V29*$J$11)),(V29+(V29*$J$11)-550))</f>
        <v>22002</v>
      </c>
      <c r="E29" s="820"/>
      <c r="F29" s="847">
        <v>12</v>
      </c>
      <c r="G29" s="425">
        <f>IF('Terms of Use'!$Z$67=1,(Y29+(Y29*$J$11)),(Y29+(Y29*$J$11)-550))</f>
        <v>40506</v>
      </c>
      <c r="H29" s="764"/>
      <c r="I29" s="872">
        <v>5</v>
      </c>
      <c r="J29" s="873">
        <f>IF('Terms of Use'!$Z$67=1,(AB29+(AB29*$J$11)),(AB29+(AB29*$J$11)-550))</f>
        <v>10572</v>
      </c>
      <c r="K29" s="774"/>
      <c r="L29" s="848">
        <v>13</v>
      </c>
      <c r="M29" s="428">
        <f>IF('Terms of Use'!$Z$67=1,(AE29+(AE29*$J$11)),(AE29+(AE29*$J$11)-550))</f>
        <v>47343</v>
      </c>
      <c r="N29" s="467"/>
      <c r="O29" s="467"/>
      <c r="P29" s="467"/>
      <c r="Q29" s="774"/>
      <c r="R29" s="765"/>
      <c r="S29" s="766"/>
      <c r="T29" s="899" t="s">
        <v>6</v>
      </c>
      <c r="U29" s="884">
        <v>1</v>
      </c>
      <c r="V29" s="722">
        <v>22002</v>
      </c>
      <c r="W29" s="867"/>
      <c r="X29" s="858">
        <v>12</v>
      </c>
      <c r="Y29" s="722">
        <v>40506</v>
      </c>
      <c r="Z29" s="867"/>
      <c r="AA29" s="858">
        <v>5</v>
      </c>
      <c r="AB29" s="724">
        <v>10572</v>
      </c>
      <c r="AC29" s="776"/>
      <c r="AD29" s="851">
        <v>13</v>
      </c>
      <c r="AE29" s="725">
        <v>47343</v>
      </c>
      <c r="AF29" s="800"/>
      <c r="AG29" s="800"/>
      <c r="AH29" s="800"/>
      <c r="AI29" s="10"/>
    </row>
    <row r="30" spans="1:35" ht="15">
      <c r="A30" s="10"/>
      <c r="B30" s="897"/>
      <c r="C30" s="901">
        <v>1.5</v>
      </c>
      <c r="D30" s="426"/>
      <c r="E30" s="820"/>
      <c r="F30" s="847"/>
      <c r="G30" s="425"/>
      <c r="H30" s="764"/>
      <c r="I30" s="872"/>
      <c r="J30" s="873"/>
      <c r="K30" s="774"/>
      <c r="L30" s="848">
        <v>14</v>
      </c>
      <c r="M30" s="428">
        <f>IF('Terms of Use'!$Z$67=1,(AE30+(AE30*$J$11)),(AE30+(AE30*$J$11)-550))</f>
        <v>48453</v>
      </c>
      <c r="N30" s="467"/>
      <c r="O30" s="467"/>
      <c r="P30" s="467"/>
      <c r="Q30" s="774"/>
      <c r="R30" s="765"/>
      <c r="S30" s="766"/>
      <c r="T30" s="899"/>
      <c r="U30" s="902">
        <v>1.5</v>
      </c>
      <c r="V30" s="722"/>
      <c r="W30" s="867"/>
      <c r="X30" s="858"/>
      <c r="Y30" s="723"/>
      <c r="Z30" s="867"/>
      <c r="AA30" s="858"/>
      <c r="AB30" s="868"/>
      <c r="AC30" s="776"/>
      <c r="AD30" s="851">
        <v>14</v>
      </c>
      <c r="AE30" s="725">
        <v>48453</v>
      </c>
      <c r="AF30" s="800"/>
      <c r="AG30" s="459" t="s">
        <v>176</v>
      </c>
      <c r="AH30" s="460"/>
      <c r="AI30" s="10"/>
    </row>
    <row r="31" spans="1:35" ht="15">
      <c r="A31" s="10"/>
      <c r="B31" s="897" t="s">
        <v>6</v>
      </c>
      <c r="C31" s="778">
        <v>2</v>
      </c>
      <c r="D31" s="625">
        <f>IF('Terms of Use'!$Z$67=1,(V31+(V31*$J$11)),(V31+(V31*$J$11)-550))</f>
        <v>23316</v>
      </c>
      <c r="E31" s="820"/>
      <c r="F31" s="847">
        <v>13</v>
      </c>
      <c r="G31" s="425">
        <f>IF('Terms of Use'!$Z$67=1,(Y31+(Y31*$J$11)),(Y31+(Y31*$J$11)-550))</f>
        <v>41256</v>
      </c>
      <c r="H31" s="764"/>
      <c r="I31" s="872"/>
      <c r="J31" s="873"/>
      <c r="K31" s="774"/>
      <c r="L31" s="848">
        <v>15</v>
      </c>
      <c r="M31" s="428">
        <f>IF('Terms of Use'!$Z$67=1,(AE31+(AE31*$J$11)),(AE31+(AE31*$J$11)-550))</f>
        <v>49593</v>
      </c>
      <c r="N31" s="467"/>
      <c r="O31" s="467"/>
      <c r="P31" s="467"/>
      <c r="Q31" s="774"/>
      <c r="R31" s="765"/>
      <c r="S31" s="766"/>
      <c r="T31" s="899" t="s">
        <v>6</v>
      </c>
      <c r="U31" s="884">
        <v>2</v>
      </c>
      <c r="V31" s="722">
        <v>23316</v>
      </c>
      <c r="W31" s="867"/>
      <c r="X31" s="858">
        <v>13</v>
      </c>
      <c r="Y31" s="722">
        <v>41256</v>
      </c>
      <c r="Z31" s="867"/>
      <c r="AA31" s="858"/>
      <c r="AB31" s="868"/>
      <c r="AC31" s="776"/>
      <c r="AD31" s="851">
        <v>15</v>
      </c>
      <c r="AE31" s="725">
        <v>49593</v>
      </c>
      <c r="AF31" s="800"/>
      <c r="AG31" s="461" t="s">
        <v>177</v>
      </c>
      <c r="AH31" s="462"/>
      <c r="AI31" s="10"/>
    </row>
    <row r="32" spans="1:35" ht="15">
      <c r="A32" s="10"/>
      <c r="B32" s="897"/>
      <c r="C32" s="901">
        <v>2.5</v>
      </c>
      <c r="D32" s="426"/>
      <c r="E32" s="820"/>
      <c r="F32" s="847"/>
      <c r="G32" s="425"/>
      <c r="H32" s="764"/>
      <c r="I32" s="881" t="s">
        <v>178</v>
      </c>
      <c r="J32" s="882"/>
      <c r="K32" s="774"/>
      <c r="L32" s="848">
        <v>16</v>
      </c>
      <c r="M32" s="428">
        <f>IF('Terms of Use'!$Z$67=1,(AE32+(AE32*$J$11)),(AE32+(AE32*$J$11)-550))</f>
        <v>50844</v>
      </c>
      <c r="N32" s="467"/>
      <c r="O32" s="467"/>
      <c r="P32" s="467"/>
      <c r="Q32" s="774"/>
      <c r="R32" s="765"/>
      <c r="S32" s="766"/>
      <c r="T32" s="899"/>
      <c r="U32" s="902">
        <v>2.5</v>
      </c>
      <c r="V32" s="722"/>
      <c r="W32" s="867"/>
      <c r="X32" s="858"/>
      <c r="Y32" s="723"/>
      <c r="Z32" s="867"/>
      <c r="AA32" s="885" t="s">
        <v>178</v>
      </c>
      <c r="AB32" s="886"/>
      <c r="AC32" s="776"/>
      <c r="AD32" s="851">
        <v>16</v>
      </c>
      <c r="AE32" s="725">
        <v>50844</v>
      </c>
      <c r="AF32" s="800"/>
      <c r="AG32" s="461"/>
      <c r="AH32" s="463">
        <v>33</v>
      </c>
      <c r="AI32" s="10"/>
    </row>
    <row r="33" spans="1:35" ht="15.75">
      <c r="A33" s="10"/>
      <c r="B33" s="897" t="s">
        <v>6</v>
      </c>
      <c r="C33" s="778">
        <v>3</v>
      </c>
      <c r="D33" s="625">
        <f>IF('Terms of Use'!$Z$67=1,(V33+(V33*$J$11)),(V33+(V33*$J$11)-550))</f>
        <v>24978</v>
      </c>
      <c r="E33" s="820"/>
      <c r="F33" s="847">
        <v>14</v>
      </c>
      <c r="G33" s="425">
        <f>IF('Terms of Use'!$Z$67=1,(Y33+(Y33*$J$11)),(Y33+(Y33*$J$11)-550))</f>
        <v>42003</v>
      </c>
      <c r="H33" s="764"/>
      <c r="I33" s="872">
        <v>1</v>
      </c>
      <c r="J33" s="873">
        <f>IF('Terms of Use'!$Z$67=1,(AB33+(AB33*$J$11)),(AB33+(AB33*$J$11)-550))</f>
        <v>1002</v>
      </c>
      <c r="K33" s="772"/>
      <c r="L33" s="848">
        <v>17</v>
      </c>
      <c r="M33" s="428">
        <f>IF('Terms of Use'!$Z$67=1,(AE33+(AE33*$J$11)),(AE33+(AE33*$J$11)-550))</f>
        <v>51954</v>
      </c>
      <c r="N33" s="467"/>
      <c r="O33" s="467"/>
      <c r="P33" s="467"/>
      <c r="Q33" s="774"/>
      <c r="R33" s="765"/>
      <c r="S33" s="766"/>
      <c r="T33" s="899" t="s">
        <v>6</v>
      </c>
      <c r="U33" s="884">
        <v>3</v>
      </c>
      <c r="V33" s="722">
        <v>24978</v>
      </c>
      <c r="W33" s="867"/>
      <c r="X33" s="858">
        <v>14</v>
      </c>
      <c r="Y33" s="722">
        <v>42003</v>
      </c>
      <c r="Z33" s="867"/>
      <c r="AA33" s="858">
        <v>1</v>
      </c>
      <c r="AB33" s="724">
        <v>1002</v>
      </c>
      <c r="AC33" s="776"/>
      <c r="AD33" s="851">
        <v>17</v>
      </c>
      <c r="AE33" s="725">
        <v>51954</v>
      </c>
      <c r="AF33" s="800"/>
      <c r="AG33" s="800"/>
      <c r="AH33" s="903" t="s">
        <v>179</v>
      </c>
      <c r="AI33" s="10"/>
    </row>
    <row r="34" spans="1:35" ht="15.75">
      <c r="A34" s="10"/>
      <c r="B34" s="897"/>
      <c r="C34" s="901">
        <v>3.5</v>
      </c>
      <c r="D34" s="426"/>
      <c r="E34" s="820"/>
      <c r="F34" s="847"/>
      <c r="G34" s="425"/>
      <c r="H34" s="764"/>
      <c r="I34" s="872">
        <v>2</v>
      </c>
      <c r="J34" s="873">
        <f>IF('Terms of Use'!$Z$67=1,(AB34+(AB34*$J$11)),(AB34+(AB34*$J$11)-550))</f>
        <v>1971</v>
      </c>
      <c r="K34" s="772"/>
      <c r="L34" s="848">
        <v>18</v>
      </c>
      <c r="M34" s="428">
        <f>IF('Terms of Use'!$Z$67=1,(AE34+(AE34*$J$11)),(AE34+(AE34*$J$11)-550))</f>
        <v>53193</v>
      </c>
      <c r="N34" s="467"/>
      <c r="O34" s="467"/>
      <c r="P34" s="467"/>
      <c r="Q34" s="774"/>
      <c r="R34" s="765"/>
      <c r="S34" s="766"/>
      <c r="T34" s="899"/>
      <c r="U34" s="902">
        <v>3.5</v>
      </c>
      <c r="V34" s="722"/>
      <c r="W34" s="867"/>
      <c r="X34" s="858"/>
      <c r="Y34" s="723"/>
      <c r="Z34" s="867"/>
      <c r="AA34" s="858">
        <v>2</v>
      </c>
      <c r="AB34" s="724">
        <v>1971</v>
      </c>
      <c r="AC34" s="776"/>
      <c r="AD34" s="851">
        <v>18</v>
      </c>
      <c r="AE34" s="725">
        <v>53193</v>
      </c>
      <c r="AF34" s="800"/>
      <c r="AG34" s="800"/>
      <c r="AH34" s="903" t="s">
        <v>180</v>
      </c>
      <c r="AI34" s="10"/>
    </row>
    <row r="35" spans="1:35" ht="15.75">
      <c r="A35" s="10"/>
      <c r="B35" s="897" t="s">
        <v>6</v>
      </c>
      <c r="C35" s="778">
        <v>4</v>
      </c>
      <c r="D35" s="625">
        <f>IF('Terms of Use'!$Z$67=1,(V35+(V35*$J$11)),(V35+(V35*$J$11)-550))</f>
        <v>26697</v>
      </c>
      <c r="E35" s="820"/>
      <c r="F35" s="847">
        <v>15</v>
      </c>
      <c r="G35" s="425">
        <f>IF('Terms of Use'!$Z$67=1,(Y35+(Y35*$J$11)),(Y35+(Y35*$J$11)-550))</f>
        <v>42753</v>
      </c>
      <c r="H35" s="764"/>
      <c r="I35" s="872">
        <v>3</v>
      </c>
      <c r="J35" s="873">
        <f>IF('Terms of Use'!$Z$67=1,(AB35+(AB35*$J$11)),(AB35+(AB35*$J$11)-550))</f>
        <v>2985</v>
      </c>
      <c r="K35" s="772"/>
      <c r="L35" s="848">
        <v>19</v>
      </c>
      <c r="M35" s="428">
        <f>IF('Terms of Use'!$Z$67=1,(AE35+(AE35*$J$11)),(AE35+(AE35*$J$11)-550))</f>
        <v>54447</v>
      </c>
      <c r="N35" s="467"/>
      <c r="O35" s="467"/>
      <c r="P35" s="467"/>
      <c r="Q35" s="774"/>
      <c r="R35" s="765"/>
      <c r="S35" s="766"/>
      <c r="T35" s="899" t="s">
        <v>6</v>
      </c>
      <c r="U35" s="884">
        <v>4</v>
      </c>
      <c r="V35" s="722">
        <v>26697</v>
      </c>
      <c r="W35" s="867"/>
      <c r="X35" s="858">
        <v>15</v>
      </c>
      <c r="Y35" s="722">
        <v>42753</v>
      </c>
      <c r="Z35" s="867"/>
      <c r="AA35" s="858">
        <v>3</v>
      </c>
      <c r="AB35" s="724">
        <v>2985</v>
      </c>
      <c r="AC35" s="776"/>
      <c r="AD35" s="851">
        <v>19</v>
      </c>
      <c r="AE35" s="725">
        <v>54447</v>
      </c>
      <c r="AF35" s="800"/>
      <c r="AG35" s="800"/>
      <c r="AH35" s="903" t="s">
        <v>181</v>
      </c>
      <c r="AI35" s="10"/>
    </row>
    <row r="36" spans="1:35" ht="15">
      <c r="A36" s="10"/>
      <c r="B36" s="897"/>
      <c r="C36" s="901">
        <v>4.5</v>
      </c>
      <c r="D36" s="426"/>
      <c r="E36" s="820"/>
      <c r="F36" s="847"/>
      <c r="G36" s="425"/>
      <c r="H36" s="764"/>
      <c r="I36" s="872">
        <v>4</v>
      </c>
      <c r="J36" s="873">
        <f>IF('Terms of Use'!$Z$67=1,(AB36+(AB36*$J$11)),(AB36+(AB36*$J$11)-550))</f>
        <v>4158</v>
      </c>
      <c r="K36" s="772"/>
      <c r="L36" s="848">
        <v>20</v>
      </c>
      <c r="M36" s="428">
        <f>IF('Terms of Use'!$Z$67=1,(AE36+(AE36*$J$11)),(AE36+(AE36*$J$11)-550))</f>
        <v>55731</v>
      </c>
      <c r="N36" s="467"/>
      <c r="O36" s="467"/>
      <c r="P36" s="467"/>
      <c r="Q36" s="774"/>
      <c r="R36" s="765"/>
      <c r="S36" s="766"/>
      <c r="T36" s="899"/>
      <c r="U36" s="902">
        <v>4.5</v>
      </c>
      <c r="V36" s="722"/>
      <c r="W36" s="867"/>
      <c r="X36" s="858"/>
      <c r="Y36" s="723"/>
      <c r="Z36" s="867"/>
      <c r="AA36" s="858">
        <v>4</v>
      </c>
      <c r="AB36" s="724">
        <v>4158</v>
      </c>
      <c r="AC36" s="776"/>
      <c r="AD36" s="851">
        <v>20</v>
      </c>
      <c r="AE36" s="725">
        <v>55731</v>
      </c>
      <c r="AF36" s="800"/>
      <c r="AG36" s="800"/>
      <c r="AH36" s="800"/>
      <c r="AI36" s="10"/>
    </row>
    <row r="37" spans="1:35" ht="15">
      <c r="A37" s="10"/>
      <c r="B37" s="897" t="s">
        <v>6</v>
      </c>
      <c r="C37" s="778">
        <v>5</v>
      </c>
      <c r="D37" s="625">
        <f>IF('Terms of Use'!$Z$67=1,(V37+(V37*$J$11)),(V37+(V37*$J$11)-550))</f>
        <v>28593</v>
      </c>
      <c r="E37" s="820"/>
      <c r="F37" s="847">
        <v>16</v>
      </c>
      <c r="G37" s="425">
        <f>IF('Terms of Use'!$Z$67=1,(Y37+(Y37*$J$11)),(Y37+(Y37*$J$11)-550))</f>
        <v>43506</v>
      </c>
      <c r="H37" s="764"/>
      <c r="I37" s="872">
        <v>5</v>
      </c>
      <c r="J37" s="873">
        <f>IF('Terms of Use'!$Z$67=1,(AB37+(AB37*$J$11)),(AB37+(AB37*$J$11)-550))</f>
        <v>5415</v>
      </c>
      <c r="K37" s="772"/>
      <c r="L37" s="848">
        <v>21</v>
      </c>
      <c r="M37" s="428">
        <f>IF('Terms of Use'!$Z$67=1,(AE37+(AE37*$J$11)),(AE37+(AE37*$J$11)-550))</f>
        <v>57045</v>
      </c>
      <c r="N37" s="467"/>
      <c r="O37" s="467"/>
      <c r="P37" s="467"/>
      <c r="Q37" s="774"/>
      <c r="R37" s="765"/>
      <c r="S37" s="766"/>
      <c r="T37" s="899" t="s">
        <v>6</v>
      </c>
      <c r="U37" s="884">
        <v>5</v>
      </c>
      <c r="V37" s="722">
        <v>28593</v>
      </c>
      <c r="W37" s="867"/>
      <c r="X37" s="858">
        <v>16</v>
      </c>
      <c r="Y37" s="722">
        <v>43506</v>
      </c>
      <c r="Z37" s="867"/>
      <c r="AA37" s="858">
        <v>5</v>
      </c>
      <c r="AB37" s="724">
        <v>5415</v>
      </c>
      <c r="AC37" s="776"/>
      <c r="AD37" s="851">
        <v>21</v>
      </c>
      <c r="AE37" s="725">
        <v>57045</v>
      </c>
      <c r="AF37" s="800"/>
      <c r="AG37" s="800"/>
      <c r="AH37" s="800"/>
      <c r="AI37" s="10"/>
    </row>
    <row r="38" spans="1:35" ht="15">
      <c r="A38" s="10"/>
      <c r="B38" s="897"/>
      <c r="C38" s="901">
        <v>5.5</v>
      </c>
      <c r="D38" s="426"/>
      <c r="E38" s="820"/>
      <c r="F38" s="847"/>
      <c r="G38" s="425"/>
      <c r="H38" s="764"/>
      <c r="I38" s="872"/>
      <c r="J38" s="873"/>
      <c r="K38" s="772"/>
      <c r="L38" s="848">
        <v>22</v>
      </c>
      <c r="M38" s="428">
        <f>IF('Terms of Use'!$Z$67=1,(AE38+(AE38*$J$11)),(AE38+(AE38*$J$11)-550))</f>
        <v>58395</v>
      </c>
      <c r="N38" s="467"/>
      <c r="O38" s="467"/>
      <c r="P38" s="467"/>
      <c r="Q38" s="774"/>
      <c r="R38" s="765"/>
      <c r="S38" s="766"/>
      <c r="T38" s="899"/>
      <c r="U38" s="902">
        <v>5.5</v>
      </c>
      <c r="V38" s="722"/>
      <c r="W38" s="867"/>
      <c r="X38" s="858"/>
      <c r="Y38" s="723"/>
      <c r="Z38" s="867"/>
      <c r="AA38" s="858"/>
      <c r="AB38" s="868"/>
      <c r="AC38" s="776"/>
      <c r="AD38" s="851">
        <v>22</v>
      </c>
      <c r="AE38" s="725">
        <v>58395</v>
      </c>
      <c r="AF38" s="800"/>
      <c r="AG38" s="800"/>
      <c r="AH38" s="800"/>
      <c r="AI38" s="10"/>
    </row>
    <row r="39" spans="1:35" ht="15">
      <c r="A39" s="10"/>
      <c r="B39" s="897" t="s">
        <v>6</v>
      </c>
      <c r="C39" s="778">
        <v>6</v>
      </c>
      <c r="D39" s="625">
        <f>IF('Terms of Use'!$Z$67=1,(V39+(V39*$J$11)),(V39+(V39*$J$11)-550))</f>
        <v>30642</v>
      </c>
      <c r="E39" s="820"/>
      <c r="F39" s="847">
        <v>17</v>
      </c>
      <c r="G39" s="425">
        <f>IF('Terms of Use'!$Z$67=1,(Y39+(Y39*$J$11)),(Y39+(Y39*$J$11)-550))</f>
        <v>44253</v>
      </c>
      <c r="H39" s="764"/>
      <c r="I39" s="872"/>
      <c r="J39" s="873"/>
      <c r="K39" s="772"/>
      <c r="L39" s="848">
        <v>23</v>
      </c>
      <c r="M39" s="428">
        <f>IF('Terms of Use'!$Z$67=1,(AE39+(AE39*$J$11)),(AE39+(AE39*$J$11)-550))</f>
        <v>59775</v>
      </c>
      <c r="N39" s="467"/>
      <c r="O39" s="467"/>
      <c r="P39" s="467"/>
      <c r="Q39" s="774"/>
      <c r="R39" s="765"/>
      <c r="S39" s="766"/>
      <c r="T39" s="899" t="s">
        <v>6</v>
      </c>
      <c r="U39" s="884">
        <v>6</v>
      </c>
      <c r="V39" s="722">
        <v>30642</v>
      </c>
      <c r="W39" s="867"/>
      <c r="X39" s="858">
        <v>17</v>
      </c>
      <c r="Y39" s="722">
        <v>44253</v>
      </c>
      <c r="Z39" s="867"/>
      <c r="AA39" s="858"/>
      <c r="AB39" s="868"/>
      <c r="AC39" s="776"/>
      <c r="AD39" s="851">
        <v>23</v>
      </c>
      <c r="AE39" s="725">
        <v>59775</v>
      </c>
      <c r="AF39" s="800"/>
      <c r="AG39" s="800"/>
      <c r="AH39" s="800"/>
      <c r="AI39" s="10"/>
    </row>
    <row r="40" spans="1:35" ht="15">
      <c r="A40" s="10"/>
      <c r="B40" s="897"/>
      <c r="C40" s="901">
        <v>6.5</v>
      </c>
      <c r="D40" s="625">
        <f>IF('Terms of Use'!$Z$67=1,(V40+(V40*$J$11)),(V40+(V40*$J$11)-550))</f>
        <v>30642</v>
      </c>
      <c r="E40" s="820"/>
      <c r="F40" s="847"/>
      <c r="G40" s="425"/>
      <c r="H40" s="764"/>
      <c r="I40" s="881" t="s">
        <v>182</v>
      </c>
      <c r="J40" s="882"/>
      <c r="K40" s="772"/>
      <c r="L40" s="848">
        <v>24</v>
      </c>
      <c r="M40" s="428">
        <f>IF('Terms of Use'!$Z$67=1,(AE40+(AE40*$J$11)),(AE40+(AE40*$J$11)-550))</f>
        <v>61194</v>
      </c>
      <c r="N40" s="467"/>
      <c r="O40" s="467"/>
      <c r="P40" s="467"/>
      <c r="Q40" s="774"/>
      <c r="R40" s="765"/>
      <c r="S40" s="766"/>
      <c r="T40" s="899"/>
      <c r="U40" s="902">
        <v>6.5</v>
      </c>
      <c r="V40" s="722">
        <v>30642</v>
      </c>
      <c r="W40" s="867"/>
      <c r="X40" s="858"/>
      <c r="Y40" s="723"/>
      <c r="Z40" s="867"/>
      <c r="AA40" s="885" t="s">
        <v>182</v>
      </c>
      <c r="AB40" s="886"/>
      <c r="AC40" s="776"/>
      <c r="AD40" s="851">
        <v>24</v>
      </c>
      <c r="AE40" s="725">
        <v>61194</v>
      </c>
      <c r="AF40" s="800"/>
      <c r="AG40" s="800"/>
      <c r="AH40" s="800"/>
      <c r="AI40" s="10"/>
    </row>
    <row r="41" spans="1:35" ht="15">
      <c r="A41" s="10"/>
      <c r="B41" s="897" t="s">
        <v>6</v>
      </c>
      <c r="C41" s="778">
        <v>7</v>
      </c>
      <c r="D41" s="625">
        <f>IF('Terms of Use'!$Z$67=1,(V41+(V41*$J$11)),(V41+(V41*$J$11)-550))</f>
        <v>30642</v>
      </c>
      <c r="E41" s="820"/>
      <c r="F41" s="847">
        <v>18</v>
      </c>
      <c r="G41" s="425">
        <f>IF('Terms of Use'!$Z$67=1,(Y41+(Y41*$J$11)),(Y41+(Y41*$J$11)-550))</f>
        <v>45003</v>
      </c>
      <c r="H41" s="764"/>
      <c r="I41" s="872">
        <v>1</v>
      </c>
      <c r="J41" s="873">
        <f>IF('Terms of Use'!$Z$67=1,(AB41+(AB41*$J$11)),(AB41+(AB41*$J$11)-550))</f>
        <v>1773</v>
      </c>
      <c r="K41" s="772"/>
      <c r="L41" s="848">
        <v>25</v>
      </c>
      <c r="M41" s="428">
        <f>IF('Terms of Use'!$Z$67=1,(AE41+(AE41*$J$11)),(AE41+(AE41*$J$11)-550))</f>
        <v>62646</v>
      </c>
      <c r="N41" s="467"/>
      <c r="O41" s="467"/>
      <c r="P41" s="467"/>
      <c r="Q41" s="774"/>
      <c r="R41" s="765"/>
      <c r="S41" s="766"/>
      <c r="T41" s="899" t="s">
        <v>6</v>
      </c>
      <c r="U41" s="884">
        <v>7</v>
      </c>
      <c r="V41" s="722">
        <v>30642</v>
      </c>
      <c r="W41" s="867"/>
      <c r="X41" s="858">
        <v>18</v>
      </c>
      <c r="Y41" s="722">
        <v>45003</v>
      </c>
      <c r="Z41" s="867"/>
      <c r="AA41" s="858">
        <v>1</v>
      </c>
      <c r="AB41" s="724">
        <v>1773</v>
      </c>
      <c r="AC41" s="776"/>
      <c r="AD41" s="851">
        <v>25</v>
      </c>
      <c r="AE41" s="725">
        <v>62646</v>
      </c>
      <c r="AF41" s="800"/>
      <c r="AG41" s="800"/>
      <c r="AH41" s="800"/>
      <c r="AI41" s="10"/>
    </row>
    <row r="42" spans="1:35" ht="15">
      <c r="A42" s="10"/>
      <c r="B42" s="897"/>
      <c r="C42" s="901">
        <v>7.5</v>
      </c>
      <c r="D42" s="625">
        <f>IF('Terms of Use'!$Z$67=1,(V42+(V42*$J$11)),(V42+(V42*$J$11)-550))</f>
        <v>30642</v>
      </c>
      <c r="E42" s="820"/>
      <c r="F42" s="847"/>
      <c r="G42" s="425"/>
      <c r="H42" s="764"/>
      <c r="I42" s="872">
        <v>2</v>
      </c>
      <c r="J42" s="873">
        <f>IF('Terms of Use'!$Z$67=1,(AB42+(AB42*$J$11)),(AB42+(AB42*$J$11)-550))</f>
        <v>3507</v>
      </c>
      <c r="K42" s="772"/>
      <c r="L42" s="848">
        <v>26</v>
      </c>
      <c r="M42" s="428">
        <f>IF('Terms of Use'!$Z$67=1,(AE42+(AE42*$J$11)),(AE42+(AE42*$J$11)-550))</f>
        <v>64134</v>
      </c>
      <c r="N42" s="467"/>
      <c r="O42" s="467"/>
      <c r="P42" s="467"/>
      <c r="Q42" s="774"/>
      <c r="R42" s="765"/>
      <c r="S42" s="766"/>
      <c r="T42" s="899"/>
      <c r="U42" s="902">
        <v>7.5</v>
      </c>
      <c r="V42" s="722">
        <v>30642</v>
      </c>
      <c r="W42" s="867"/>
      <c r="X42" s="858"/>
      <c r="Y42" s="723"/>
      <c r="Z42" s="867"/>
      <c r="AA42" s="858">
        <v>2</v>
      </c>
      <c r="AB42" s="724">
        <v>3507</v>
      </c>
      <c r="AC42" s="776"/>
      <c r="AD42" s="851">
        <v>26</v>
      </c>
      <c r="AE42" s="725">
        <v>64134</v>
      </c>
      <c r="AF42" s="800"/>
      <c r="AG42" s="800"/>
      <c r="AH42" s="800"/>
      <c r="AI42" s="10"/>
    </row>
    <row r="43" spans="1:35" ht="15">
      <c r="A43" s="10"/>
      <c r="B43" s="897" t="s">
        <v>6</v>
      </c>
      <c r="C43" s="778">
        <v>8</v>
      </c>
      <c r="D43" s="625">
        <f>IF('Terms of Use'!$Z$67=1,(V43+(V43*$J$11)),(V43+(V43*$J$11)-550))</f>
        <v>30642</v>
      </c>
      <c r="E43" s="820"/>
      <c r="F43" s="847">
        <v>19</v>
      </c>
      <c r="G43" s="425">
        <f>IF('Terms of Use'!$Z$67=1,(Y43+(Y43*$J$11)),(Y43+(Y43*$J$11)-550))</f>
        <v>45753</v>
      </c>
      <c r="H43" s="764"/>
      <c r="I43" s="872"/>
      <c r="J43" s="873"/>
      <c r="K43" s="772"/>
      <c r="L43" s="848">
        <v>27</v>
      </c>
      <c r="M43" s="428">
        <f>IF('Terms of Use'!$Z$67=1,(AE43+(AE43*$J$11)),(AE43+(AE43*$J$11)-550))</f>
        <v>65655</v>
      </c>
      <c r="N43" s="467"/>
      <c r="O43" s="467"/>
      <c r="P43" s="467"/>
      <c r="Q43" s="774"/>
      <c r="R43" s="765"/>
      <c r="S43" s="766"/>
      <c r="T43" s="899" t="s">
        <v>6</v>
      </c>
      <c r="U43" s="884">
        <v>8</v>
      </c>
      <c r="V43" s="722">
        <v>30642</v>
      </c>
      <c r="W43" s="867"/>
      <c r="X43" s="858">
        <v>19</v>
      </c>
      <c r="Y43" s="722">
        <v>45753</v>
      </c>
      <c r="Z43" s="867"/>
      <c r="AA43" s="858"/>
      <c r="AB43" s="868"/>
      <c r="AC43" s="776"/>
      <c r="AD43" s="851">
        <v>27</v>
      </c>
      <c r="AE43" s="725">
        <v>65655</v>
      </c>
      <c r="AF43" s="800"/>
      <c r="AG43" s="800"/>
      <c r="AH43" s="800"/>
      <c r="AI43" s="10"/>
    </row>
    <row r="44" spans="1:35" ht="15">
      <c r="A44" s="10"/>
      <c r="B44" s="897"/>
      <c r="C44" s="901">
        <v>8.5</v>
      </c>
      <c r="D44" s="625">
        <f>IF('Terms of Use'!$Z$67=1,(V44+(V44*$J$11)),(V44+(V44*$J$11)-550))</f>
        <v>30642</v>
      </c>
      <c r="E44" s="820"/>
      <c r="F44" s="847"/>
      <c r="G44" s="425"/>
      <c r="H44" s="764"/>
      <c r="I44" s="872"/>
      <c r="J44" s="873"/>
      <c r="K44" s="772"/>
      <c r="L44" s="848">
        <v>28</v>
      </c>
      <c r="M44" s="428">
        <f>IF('Terms of Use'!$Z$67=1,(AE44+(AE44*$J$11)),(AE44+(AE44*$J$11)-550))</f>
        <v>67218</v>
      </c>
      <c r="N44" s="467"/>
      <c r="O44" s="467"/>
      <c r="P44" s="467"/>
      <c r="Q44" s="774"/>
      <c r="R44" s="765"/>
      <c r="S44" s="766"/>
      <c r="T44" s="899"/>
      <c r="U44" s="902">
        <v>8.5</v>
      </c>
      <c r="V44" s="722">
        <v>30642</v>
      </c>
      <c r="W44" s="867"/>
      <c r="X44" s="858"/>
      <c r="Y44" s="723"/>
      <c r="Z44" s="867"/>
      <c r="AA44" s="858"/>
      <c r="AB44" s="868"/>
      <c r="AC44" s="776"/>
      <c r="AD44" s="851">
        <v>28</v>
      </c>
      <c r="AE44" s="725">
        <v>67218</v>
      </c>
      <c r="AF44" s="800"/>
      <c r="AG44" s="800"/>
      <c r="AH44" s="800"/>
      <c r="AI44" s="10"/>
    </row>
    <row r="45" spans="1:35" ht="15">
      <c r="A45" s="10"/>
      <c r="B45" s="897" t="s">
        <v>6</v>
      </c>
      <c r="C45" s="778">
        <v>9</v>
      </c>
      <c r="D45" s="625">
        <f>IF('Terms of Use'!$Z$67=1,(V45+(V45*$J$11)),(V45+(V45*$J$11)-550))</f>
        <v>30642</v>
      </c>
      <c r="E45" s="820"/>
      <c r="F45" s="847">
        <v>20</v>
      </c>
      <c r="G45" s="425">
        <f>IF('Terms of Use'!$Z$67=1,(Y45+(Y45*$J$11)),(Y45+(Y45*$J$11)-550))</f>
        <v>46503</v>
      </c>
      <c r="H45" s="764"/>
      <c r="I45" s="904"/>
      <c r="J45" s="905"/>
      <c r="K45" s="772"/>
      <c r="L45" s="848">
        <v>29</v>
      </c>
      <c r="M45" s="428">
        <f>IF('Terms of Use'!$Z$67=1,(AE45+(AE45*$J$11)),(AE45+(AE45*$J$11)-550))</f>
        <v>68820</v>
      </c>
      <c r="N45" s="467"/>
      <c r="O45" s="467"/>
      <c r="P45" s="467"/>
      <c r="Q45" s="774"/>
      <c r="R45" s="765"/>
      <c r="S45" s="766"/>
      <c r="T45" s="899" t="s">
        <v>6</v>
      </c>
      <c r="U45" s="884">
        <v>9</v>
      </c>
      <c r="V45" s="722">
        <v>30642</v>
      </c>
      <c r="W45" s="867"/>
      <c r="X45" s="858">
        <v>20</v>
      </c>
      <c r="Y45" s="722">
        <v>46503</v>
      </c>
      <c r="Z45" s="867"/>
      <c r="AA45" s="877"/>
      <c r="AB45" s="878"/>
      <c r="AC45" s="776"/>
      <c r="AD45" s="851">
        <v>29</v>
      </c>
      <c r="AE45" s="725">
        <v>68820</v>
      </c>
      <c r="AF45" s="800"/>
      <c r="AG45" s="800"/>
      <c r="AH45" s="800"/>
      <c r="AI45" s="10"/>
    </row>
    <row r="46" spans="1:35" ht="15">
      <c r="A46" s="10"/>
      <c r="B46" s="897"/>
      <c r="C46" s="901">
        <v>9.5</v>
      </c>
      <c r="D46" s="625">
        <f>IF('Terms of Use'!$Z$67=1,(V46+(V46*$J$11)),(V46+(V46*$J$11)-550))</f>
        <v>30642</v>
      </c>
      <c r="E46" s="820"/>
      <c r="F46" s="847"/>
      <c r="G46" s="425"/>
      <c r="H46" s="764"/>
      <c r="I46" s="847"/>
      <c r="J46" s="427"/>
      <c r="K46" s="772"/>
      <c r="L46" s="848">
        <v>30</v>
      </c>
      <c r="M46" s="428">
        <f>IF('Terms of Use'!$Z$67=1,(AE46+(AE46*$J$11)),(AE46+(AE46*$J$11)-550))</f>
        <v>70467</v>
      </c>
      <c r="N46" s="467"/>
      <c r="O46" s="467"/>
      <c r="P46" s="467"/>
      <c r="Q46" s="774"/>
      <c r="R46" s="765"/>
      <c r="S46" s="766"/>
      <c r="T46" s="899"/>
      <c r="U46" s="902">
        <v>9.5</v>
      </c>
      <c r="V46" s="722">
        <v>30642</v>
      </c>
      <c r="W46" s="867"/>
      <c r="X46" s="858"/>
      <c r="Y46" s="723"/>
      <c r="Z46" s="867"/>
      <c r="AA46" s="906"/>
      <c r="AB46" s="907"/>
      <c r="AC46" s="776"/>
      <c r="AD46" s="851">
        <v>30</v>
      </c>
      <c r="AE46" s="725">
        <v>70467</v>
      </c>
      <c r="AF46" s="800"/>
      <c r="AG46" s="800"/>
      <c r="AH46" s="800"/>
      <c r="AI46" s="10"/>
    </row>
    <row r="47" spans="1:35" ht="18">
      <c r="A47" s="10"/>
      <c r="B47" s="897" t="s">
        <v>6</v>
      </c>
      <c r="C47" s="778">
        <v>10</v>
      </c>
      <c r="D47" s="625">
        <f>IF('Terms of Use'!$Z$67=1,(V47+(V47*$J$11)),(V47+(V47*$J$11)-550))</f>
        <v>30642</v>
      </c>
      <c r="E47" s="820"/>
      <c r="F47" s="847">
        <v>21</v>
      </c>
      <c r="G47" s="425">
        <f>IF('Terms of Use'!$Z$67=1,(Y47+(Y47*$J$11)),(Y47+(Y47*$J$11)-550))</f>
        <v>47253</v>
      </c>
      <c r="H47" s="764"/>
      <c r="I47" s="847"/>
      <c r="J47" s="427"/>
      <c r="K47" s="774"/>
      <c r="L47" s="848">
        <v>31</v>
      </c>
      <c r="M47" s="428">
        <f>IF('Terms of Use'!$Z$67=1,(AE47+(AE47*$J$11)),(AE47+(AE47*$J$11)-550))</f>
        <v>72144</v>
      </c>
      <c r="N47" s="467"/>
      <c r="O47" s="467"/>
      <c r="P47" s="467"/>
      <c r="Q47" s="774"/>
      <c r="R47" s="765"/>
      <c r="S47" s="766"/>
      <c r="T47" s="899" t="s">
        <v>6</v>
      </c>
      <c r="U47" s="884">
        <v>10</v>
      </c>
      <c r="V47" s="722">
        <v>30642</v>
      </c>
      <c r="W47" s="867"/>
      <c r="X47" s="858">
        <v>21</v>
      </c>
      <c r="Y47" s="722">
        <v>47253</v>
      </c>
      <c r="Z47" s="867"/>
      <c r="AA47" s="1121" t="s">
        <v>183</v>
      </c>
      <c r="AB47" s="1122"/>
      <c r="AC47" s="1122"/>
      <c r="AD47" s="851">
        <v>31</v>
      </c>
      <c r="AE47" s="725">
        <v>72144</v>
      </c>
      <c r="AF47" s="800"/>
      <c r="AG47" s="800"/>
      <c r="AH47" s="800"/>
      <c r="AI47" s="10"/>
    </row>
    <row r="48" spans="1:35" ht="15">
      <c r="A48" s="10"/>
      <c r="B48" s="897"/>
      <c r="C48" s="901">
        <v>10.5</v>
      </c>
      <c r="D48" s="625">
        <f>IF('Terms of Use'!$Z$67=1,(V48+(V48*$J$11)),(V48+(V48*$J$11)-550))</f>
        <v>30642</v>
      </c>
      <c r="E48" s="820"/>
      <c r="F48" s="847"/>
      <c r="G48" s="425"/>
      <c r="H48" s="764"/>
      <c r="I48" s="847"/>
      <c r="J48" s="427"/>
      <c r="K48" s="774"/>
      <c r="L48" s="848">
        <v>32</v>
      </c>
      <c r="M48" s="428">
        <f>IF('Terms of Use'!$Z$67=1,(AE48+(AE48*$J$11)),(AE48+(AE48*$J$11)-550))</f>
        <v>73872</v>
      </c>
      <c r="N48" s="467"/>
      <c r="O48" s="467"/>
      <c r="P48" s="467"/>
      <c r="Q48" s="774"/>
      <c r="R48" s="765"/>
      <c r="S48" s="766"/>
      <c r="T48" s="899"/>
      <c r="U48" s="902">
        <v>10.5</v>
      </c>
      <c r="V48" s="722">
        <v>30642</v>
      </c>
      <c r="W48" s="867"/>
      <c r="X48" s="858"/>
      <c r="Y48" s="723"/>
      <c r="Z48" s="867"/>
      <c r="AA48" s="906"/>
      <c r="AB48" s="907"/>
      <c r="AC48" s="776"/>
      <c r="AD48" s="908">
        <v>32</v>
      </c>
      <c r="AE48" s="726">
        <v>73872</v>
      </c>
      <c r="AF48" s="800"/>
      <c r="AG48" s="800"/>
      <c r="AH48" s="800"/>
      <c r="AI48" s="10"/>
    </row>
    <row r="49" spans="1:35" ht="15">
      <c r="A49" s="10"/>
      <c r="B49" s="897" t="s">
        <v>6</v>
      </c>
      <c r="C49" s="778">
        <v>11</v>
      </c>
      <c r="D49" s="625">
        <f>IF('Terms of Use'!$Z$67=1,(V49+(V49*$J$11)),(V49+(V49*$J$11)-550))</f>
        <v>30642</v>
      </c>
      <c r="E49" s="820"/>
      <c r="F49" s="847">
        <v>22</v>
      </c>
      <c r="G49" s="425">
        <f>IF('Terms of Use'!$Z$67=1,(Y49+(Y49*$J$11)),(Y49+(Y49*$J$11)-550))</f>
        <v>48186</v>
      </c>
      <c r="H49" s="764"/>
      <c r="I49" s="847"/>
      <c r="J49" s="427"/>
      <c r="K49" s="774"/>
      <c r="L49" s="848">
        <v>33</v>
      </c>
      <c r="M49" s="428">
        <f>IF('Terms of Use'!$Z$67=1,(AE49+(AE49*$J$11)),(AE49+(AE49*$J$11)-550))</f>
        <v>75642</v>
      </c>
      <c r="N49" s="467"/>
      <c r="O49" s="467"/>
      <c r="P49" s="467"/>
      <c r="Q49" s="774"/>
      <c r="R49" s="765"/>
      <c r="S49" s="766"/>
      <c r="T49" s="899" t="s">
        <v>6</v>
      </c>
      <c r="U49" s="884">
        <v>11</v>
      </c>
      <c r="V49" s="722">
        <v>30642</v>
      </c>
      <c r="W49" s="867"/>
      <c r="X49" s="858">
        <v>22</v>
      </c>
      <c r="Y49" s="722">
        <v>48186</v>
      </c>
      <c r="Z49" s="867"/>
      <c r="AA49" s="906"/>
      <c r="AB49" s="907"/>
      <c r="AC49" s="776"/>
      <c r="AD49" s="908">
        <v>33</v>
      </c>
      <c r="AE49" s="726">
        <v>75642</v>
      </c>
      <c r="AF49" s="800"/>
      <c r="AG49" s="800"/>
      <c r="AH49" s="800"/>
      <c r="AI49" s="10"/>
    </row>
    <row r="50" spans="1:35" ht="15">
      <c r="A50" s="10"/>
      <c r="B50" s="897"/>
      <c r="C50" s="901">
        <v>11.5</v>
      </c>
      <c r="D50" s="625">
        <f>IF('Terms of Use'!$Z$67=1,(V50+(V50*$J$11)),(V50+(V50*$J$11)-550))</f>
        <v>30642</v>
      </c>
      <c r="E50" s="820"/>
      <c r="F50" s="847"/>
      <c r="G50" s="425"/>
      <c r="H50" s="764"/>
      <c r="I50" s="847"/>
      <c r="J50" s="427"/>
      <c r="K50" s="774"/>
      <c r="L50" s="848">
        <v>34</v>
      </c>
      <c r="M50" s="428">
        <f>IF('Terms of Use'!$Z$67=1,(AE50+(AE50*$J$11)),(AE50+(AE50*$J$11)-550))</f>
        <v>77448</v>
      </c>
      <c r="N50" s="467"/>
      <c r="O50" s="467"/>
      <c r="P50" s="467"/>
      <c r="Q50" s="774"/>
      <c r="R50" s="765"/>
      <c r="S50" s="766"/>
      <c r="T50" s="899"/>
      <c r="U50" s="902">
        <v>11.5</v>
      </c>
      <c r="V50" s="722">
        <v>30642</v>
      </c>
      <c r="W50" s="867"/>
      <c r="X50" s="858"/>
      <c r="Y50" s="723"/>
      <c r="Z50" s="867"/>
      <c r="AA50" s="906"/>
      <c r="AB50" s="907"/>
      <c r="AC50" s="776"/>
      <c r="AD50" s="908">
        <v>34</v>
      </c>
      <c r="AE50" s="726">
        <v>77448</v>
      </c>
      <c r="AF50" s="800"/>
      <c r="AG50" s="800"/>
      <c r="AH50" s="800"/>
      <c r="AI50" s="10"/>
    </row>
    <row r="51" spans="1:35" ht="15">
      <c r="A51" s="10"/>
      <c r="B51" s="897" t="s">
        <v>6</v>
      </c>
      <c r="C51" s="778">
        <v>12</v>
      </c>
      <c r="D51" s="625">
        <f>IF('Terms of Use'!$Z$67=1,(V51+(V51*$J$11)),(V51+(V51*$J$11)-550))</f>
        <v>30642</v>
      </c>
      <c r="E51" s="820"/>
      <c r="F51" s="847">
        <v>23</v>
      </c>
      <c r="G51" s="425">
        <f>IF('Terms of Use'!$Z$67=1,(Y51+(Y51*$J$11)),(Y51+(Y51*$J$11)-550))</f>
        <v>49131</v>
      </c>
      <c r="H51" s="764"/>
      <c r="I51" s="847"/>
      <c r="J51" s="427"/>
      <c r="K51" s="774"/>
      <c r="L51" s="848">
        <v>35</v>
      </c>
      <c r="M51" s="428">
        <f>IF('Terms of Use'!$Z$67=1,(AE51+(AE51*$J$11)),(AE51+(AE51*$J$11)-550))</f>
        <v>79305</v>
      </c>
      <c r="N51" s="467"/>
      <c r="O51" s="467"/>
      <c r="P51" s="467"/>
      <c r="Q51" s="774"/>
      <c r="R51" s="765"/>
      <c r="S51" s="766"/>
      <c r="T51" s="899" t="s">
        <v>6</v>
      </c>
      <c r="U51" s="884">
        <v>12</v>
      </c>
      <c r="V51" s="722">
        <v>30642</v>
      </c>
      <c r="W51" s="867"/>
      <c r="X51" s="858">
        <v>23</v>
      </c>
      <c r="Y51" s="722">
        <v>49131</v>
      </c>
      <c r="Z51" s="867"/>
      <c r="AA51" s="906"/>
      <c r="AB51" s="907"/>
      <c r="AC51" s="776"/>
      <c r="AD51" s="908">
        <v>35</v>
      </c>
      <c r="AE51" s="726">
        <v>79305</v>
      </c>
      <c r="AF51" s="800"/>
      <c r="AG51" s="800"/>
      <c r="AH51" s="800"/>
      <c r="AI51" s="10"/>
    </row>
    <row r="52" spans="1:35" ht="15">
      <c r="A52" s="10"/>
      <c r="B52" s="897"/>
      <c r="C52" s="901">
        <v>12.5</v>
      </c>
      <c r="D52" s="625">
        <f>IF('Terms of Use'!$Z$67=1,(V52+(V52*$J$11)),(V52+(V52*$J$11)-550))</f>
        <v>30642</v>
      </c>
      <c r="E52" s="820"/>
      <c r="F52" s="847"/>
      <c r="G52" s="425"/>
      <c r="H52" s="764"/>
      <c r="I52" s="847"/>
      <c r="J52" s="427"/>
      <c r="K52" s="774"/>
      <c r="L52" s="848">
        <v>36</v>
      </c>
      <c r="M52" s="428">
        <f>IF('Terms of Use'!$Z$67=1,(AE52+(AE52*$J$11)),(AE52+(AE52*$J$11)-550))</f>
        <v>81201</v>
      </c>
      <c r="N52" s="467"/>
      <c r="O52" s="467"/>
      <c r="P52" s="467"/>
      <c r="Q52" s="774"/>
      <c r="R52" s="765"/>
      <c r="S52" s="766"/>
      <c r="T52" s="899"/>
      <c r="U52" s="902">
        <v>12.5</v>
      </c>
      <c r="V52" s="722">
        <v>30642</v>
      </c>
      <c r="W52" s="867"/>
      <c r="X52" s="858"/>
      <c r="Y52" s="723"/>
      <c r="Z52" s="867"/>
      <c r="AA52" s="906"/>
      <c r="AB52" s="907"/>
      <c r="AC52" s="776"/>
      <c r="AD52" s="908">
        <v>36</v>
      </c>
      <c r="AE52" s="726">
        <v>81201</v>
      </c>
      <c r="AF52" s="800"/>
      <c r="AG52" s="800"/>
      <c r="AH52" s="800"/>
      <c r="AI52" s="10"/>
    </row>
    <row r="53" spans="1:35" ht="15">
      <c r="A53" s="10"/>
      <c r="B53" s="897" t="s">
        <v>6</v>
      </c>
      <c r="C53" s="778">
        <v>13</v>
      </c>
      <c r="D53" s="625">
        <f>IF('Terms of Use'!$Z$67=1,(V53+(V53*$J$11)),(V53+(V53*$J$11)-550))</f>
        <v>30642</v>
      </c>
      <c r="E53" s="820"/>
      <c r="F53" s="847">
        <v>24</v>
      </c>
      <c r="G53" s="425">
        <f>IF('Terms of Use'!$Z$67=1,(Y53+(Y53*$J$11)),(Y53+(Y53*$J$11)-550))</f>
        <v>50064</v>
      </c>
      <c r="H53" s="764"/>
      <c r="I53" s="847"/>
      <c r="J53" s="427"/>
      <c r="K53" s="774"/>
      <c r="L53" s="848">
        <v>37</v>
      </c>
      <c r="M53" s="428">
        <f>IF('Terms of Use'!$Z$67=1,(AE53+(AE53*$J$11)),(AE53+(AE53*$J$11)-550))</f>
        <v>83160</v>
      </c>
      <c r="N53" s="467"/>
      <c r="O53" s="467"/>
      <c r="P53" s="467"/>
      <c r="Q53" s="774"/>
      <c r="R53" s="765"/>
      <c r="S53" s="766"/>
      <c r="T53" s="899" t="s">
        <v>6</v>
      </c>
      <c r="U53" s="884">
        <v>13</v>
      </c>
      <c r="V53" s="722">
        <v>30642</v>
      </c>
      <c r="W53" s="867"/>
      <c r="X53" s="858">
        <v>24</v>
      </c>
      <c r="Y53" s="722">
        <v>50064</v>
      </c>
      <c r="Z53" s="867"/>
      <c r="AA53" s="906"/>
      <c r="AB53" s="907"/>
      <c r="AC53" s="776"/>
      <c r="AD53" s="908">
        <v>37</v>
      </c>
      <c r="AE53" s="726">
        <v>83160</v>
      </c>
      <c r="AF53" s="800"/>
      <c r="AG53" s="800"/>
      <c r="AH53" s="800"/>
      <c r="AI53" s="10"/>
    </row>
    <row r="54" spans="1:35" ht="15">
      <c r="A54" s="10"/>
      <c r="B54" s="897"/>
      <c r="C54" s="901">
        <v>13.5</v>
      </c>
      <c r="D54" s="625">
        <f>IF('Terms of Use'!$Z$67=1,(V54+(V54*$J$11)),(V54+(V54*$J$11)-550))</f>
        <v>30642</v>
      </c>
      <c r="E54" s="820"/>
      <c r="F54" s="847"/>
      <c r="G54" s="425"/>
      <c r="H54" s="764"/>
      <c r="I54" s="847"/>
      <c r="J54" s="427"/>
      <c r="K54" s="774"/>
      <c r="L54" s="848">
        <v>38</v>
      </c>
      <c r="M54" s="428">
        <f>IF('Terms of Use'!$Z$67=1,(AE54+(AE54*$J$11)),(AE54+(AE54*$J$11)-550))</f>
        <v>85149</v>
      </c>
      <c r="N54" s="467"/>
      <c r="O54" s="467"/>
      <c r="P54" s="467"/>
      <c r="Q54" s="774"/>
      <c r="R54" s="765"/>
      <c r="S54" s="766"/>
      <c r="T54" s="899"/>
      <c r="U54" s="902">
        <v>13.5</v>
      </c>
      <c r="V54" s="722">
        <v>30642</v>
      </c>
      <c r="W54" s="867"/>
      <c r="X54" s="858"/>
      <c r="Y54" s="723"/>
      <c r="Z54" s="867"/>
      <c r="AA54" s="906"/>
      <c r="AB54" s="907"/>
      <c r="AC54" s="776"/>
      <c r="AD54" s="908">
        <v>38</v>
      </c>
      <c r="AE54" s="726">
        <v>85149</v>
      </c>
      <c r="AF54" s="800"/>
      <c r="AG54" s="800"/>
      <c r="AH54" s="800"/>
      <c r="AI54" s="10"/>
    </row>
    <row r="55" spans="1:35" ht="15">
      <c r="A55" s="10"/>
      <c r="B55" s="897" t="s">
        <v>6</v>
      </c>
      <c r="C55" s="778">
        <v>14</v>
      </c>
      <c r="D55" s="625">
        <f>IF('Terms of Use'!$Z$67=1,(V55+(V55*$J$11)),(V55+(V55*$J$11)-550))</f>
        <v>30642</v>
      </c>
      <c r="E55" s="820"/>
      <c r="F55" s="847">
        <v>25</v>
      </c>
      <c r="G55" s="425">
        <f>IF('Terms of Use'!$Z$67=1,(Y55+(Y55*$J$11)),(Y55+(Y55*$J$11)-550))</f>
        <v>51003</v>
      </c>
      <c r="H55" s="764"/>
      <c r="I55" s="847"/>
      <c r="J55" s="427"/>
      <c r="K55" s="774"/>
      <c r="L55" s="848">
        <v>39</v>
      </c>
      <c r="M55" s="428">
        <f>IF('Terms of Use'!$Z$67=1,(AE55+(AE55*$J$11)),(AE55+(AE55*$J$11)-550))</f>
        <v>87159</v>
      </c>
      <c r="N55" s="467"/>
      <c r="O55" s="467"/>
      <c r="P55" s="467"/>
      <c r="Q55" s="774"/>
      <c r="R55" s="765"/>
      <c r="S55" s="766"/>
      <c r="T55" s="899" t="s">
        <v>6</v>
      </c>
      <c r="U55" s="884">
        <v>14</v>
      </c>
      <c r="V55" s="722">
        <v>30642</v>
      </c>
      <c r="W55" s="867"/>
      <c r="X55" s="858">
        <v>25</v>
      </c>
      <c r="Y55" s="722">
        <v>51003</v>
      </c>
      <c r="Z55" s="867"/>
      <c r="AA55" s="906"/>
      <c r="AB55" s="907"/>
      <c r="AC55" s="776"/>
      <c r="AD55" s="908">
        <v>39</v>
      </c>
      <c r="AE55" s="726">
        <v>87159</v>
      </c>
      <c r="AF55" s="800"/>
      <c r="AG55" s="800"/>
      <c r="AH55" s="800"/>
      <c r="AI55" s="10"/>
    </row>
    <row r="56" spans="1:35" ht="15">
      <c r="A56" s="10"/>
      <c r="B56" s="897"/>
      <c r="C56" s="901">
        <v>14.5</v>
      </c>
      <c r="D56" s="625">
        <f>IF('Terms of Use'!$Z$67=1,(V56+(V56*$J$11)),(V56+(V56*$J$11)-550))</f>
        <v>30642</v>
      </c>
      <c r="E56" s="820"/>
      <c r="F56" s="847"/>
      <c r="G56" s="425"/>
      <c r="H56" s="764"/>
      <c r="I56" s="847"/>
      <c r="J56" s="427"/>
      <c r="K56" s="774"/>
      <c r="L56" s="848">
        <v>40</v>
      </c>
      <c r="M56" s="428">
        <f>IF('Terms of Use'!$Z$67=1,(AE56+(AE56*$J$11)),(AE56+(AE56*$J$11)-550))</f>
        <v>89274</v>
      </c>
      <c r="N56" s="467"/>
      <c r="O56" s="467"/>
      <c r="P56" s="467"/>
      <c r="Q56" s="774"/>
      <c r="R56" s="765"/>
      <c r="S56" s="766"/>
      <c r="T56" s="899"/>
      <c r="U56" s="902">
        <v>14.5</v>
      </c>
      <c r="V56" s="722">
        <v>30642</v>
      </c>
      <c r="W56" s="867"/>
      <c r="X56" s="858"/>
      <c r="Y56" s="723"/>
      <c r="Z56" s="867"/>
      <c r="AA56" s="906"/>
      <c r="AB56" s="907"/>
      <c r="AC56" s="776"/>
      <c r="AD56" s="908">
        <v>40</v>
      </c>
      <c r="AE56" s="726">
        <v>89274</v>
      </c>
      <c r="AF56" s="800"/>
      <c r="AG56" s="800"/>
      <c r="AH56" s="800"/>
      <c r="AI56" s="10"/>
    </row>
    <row r="57" spans="1:35" ht="15">
      <c r="A57" s="10"/>
      <c r="B57" s="897" t="s">
        <v>6</v>
      </c>
      <c r="C57" s="778">
        <v>15</v>
      </c>
      <c r="D57" s="625">
        <f>IF('Terms of Use'!$Z$67=1,(V57+(V57*$J$11)),(V57+(V57*$J$11)-550))</f>
        <v>30642</v>
      </c>
      <c r="E57" s="820"/>
      <c r="F57" s="847">
        <v>26</v>
      </c>
      <c r="G57" s="425">
        <f>IF('Terms of Use'!$Z$67=1,(Y57+(Y57*$J$11)),(Y57+(Y57*$J$11)-550))</f>
        <v>51936</v>
      </c>
      <c r="H57" s="764"/>
      <c r="I57" s="847"/>
      <c r="J57" s="427"/>
      <c r="K57" s="774"/>
      <c r="L57" s="909">
        <v>41</v>
      </c>
      <c r="M57" s="429">
        <f>IF('Terms of Use'!$Z$67=1,(AE57+(AE57*$J$11)),(AE57+(AE57*$J$11)-550))</f>
        <v>91437</v>
      </c>
      <c r="N57" s="467"/>
      <c r="O57" s="467"/>
      <c r="P57" s="467"/>
      <c r="Q57" s="774"/>
      <c r="R57" s="765"/>
      <c r="S57" s="766"/>
      <c r="T57" s="899" t="s">
        <v>6</v>
      </c>
      <c r="U57" s="884">
        <v>15</v>
      </c>
      <c r="V57" s="722">
        <v>30642</v>
      </c>
      <c r="W57" s="867"/>
      <c r="X57" s="858">
        <v>26</v>
      </c>
      <c r="Y57" s="722">
        <v>51936</v>
      </c>
      <c r="Z57" s="867"/>
      <c r="AA57" s="906"/>
      <c r="AB57" s="907"/>
      <c r="AC57" s="776"/>
      <c r="AD57" s="910">
        <v>41</v>
      </c>
      <c r="AE57" s="726">
        <v>91437</v>
      </c>
      <c r="AF57" s="800"/>
      <c r="AG57" s="800"/>
      <c r="AH57" s="800"/>
      <c r="AI57" s="10"/>
    </row>
    <row r="58" spans="1:35" ht="15">
      <c r="A58" s="10"/>
      <c r="B58" s="897"/>
      <c r="C58" s="901">
        <v>15.5</v>
      </c>
      <c r="D58" s="625">
        <f>IF('Terms of Use'!$Z$67=1,(V58+(V58*$J$11)),(V58+(V58*$J$11)-550))</f>
        <v>30642</v>
      </c>
      <c r="E58" s="820"/>
      <c r="F58" s="847"/>
      <c r="G58" s="425"/>
      <c r="H58" s="764"/>
      <c r="I58" s="847"/>
      <c r="J58" s="427"/>
      <c r="K58" s="774"/>
      <c r="L58" s="911"/>
      <c r="M58" s="911">
        <f>IF('Terms of Use'!$Z$67=1,(AE58+(AE58*$J$11)),(AE58+(AE58*$J$11)-550))</f>
        <v>93657</v>
      </c>
      <c r="N58" s="911"/>
      <c r="O58" s="911"/>
      <c r="P58" s="911"/>
      <c r="Q58" s="774"/>
      <c r="R58" s="765"/>
      <c r="S58" s="766"/>
      <c r="T58" s="899"/>
      <c r="U58" s="902">
        <v>15.5</v>
      </c>
      <c r="V58" s="722">
        <v>30642</v>
      </c>
      <c r="W58" s="867"/>
      <c r="X58" s="858"/>
      <c r="Y58" s="723"/>
      <c r="Z58" s="867"/>
      <c r="AA58" s="906"/>
      <c r="AB58" s="907"/>
      <c r="AC58" s="776"/>
      <c r="AD58" s="910">
        <v>42</v>
      </c>
      <c r="AE58" s="726">
        <v>93657</v>
      </c>
      <c r="AF58" s="800"/>
      <c r="AG58" s="766"/>
      <c r="AH58" s="766"/>
      <c r="AI58" s="10"/>
    </row>
    <row r="59" spans="1:35" ht="15">
      <c r="A59" s="10"/>
      <c r="B59" s="897" t="s">
        <v>6</v>
      </c>
      <c r="C59" s="778">
        <v>16</v>
      </c>
      <c r="D59" s="625">
        <f>IF('Terms of Use'!$Z$67=1,(V59+(V59*$J$11)),(V59+(V59*$J$11)-550))</f>
        <v>30642</v>
      </c>
      <c r="E59" s="820"/>
      <c r="F59" s="847">
        <v>27</v>
      </c>
      <c r="G59" s="425">
        <f>IF('Terms of Use'!$Z$67=1,(Y59+(Y59*$J$11)),(Y59+(Y59*$J$11)-550))</f>
        <v>52875</v>
      </c>
      <c r="H59" s="764"/>
      <c r="I59" s="847"/>
      <c r="J59" s="427"/>
      <c r="K59" s="774"/>
      <c r="L59" s="912" t="s">
        <v>47</v>
      </c>
      <c r="M59" s="913">
        <f>IF('Terms of Use'!$Z$67=1,(AE59+(AE59*$J$11)),(AE59+(AE59*$J$11)-550))</f>
        <v>95934</v>
      </c>
      <c r="N59" s="914"/>
      <c r="O59" s="914"/>
      <c r="P59" s="914"/>
      <c r="Q59" s="774"/>
      <c r="R59" s="765"/>
      <c r="S59" s="766"/>
      <c r="T59" s="899" t="s">
        <v>6</v>
      </c>
      <c r="U59" s="884">
        <v>16</v>
      </c>
      <c r="V59" s="722">
        <v>30642</v>
      </c>
      <c r="W59" s="867"/>
      <c r="X59" s="858">
        <v>27</v>
      </c>
      <c r="Y59" s="722">
        <v>52875</v>
      </c>
      <c r="Z59" s="867"/>
      <c r="AA59" s="906"/>
      <c r="AB59" s="907"/>
      <c r="AC59" s="907"/>
      <c r="AD59" s="915">
        <v>43</v>
      </c>
      <c r="AE59" s="727">
        <v>95934</v>
      </c>
      <c r="AF59" s="800"/>
      <c r="AG59" s="916"/>
      <c r="AH59" s="916"/>
      <c r="AI59" s="10"/>
    </row>
    <row r="60" spans="1:35" ht="15">
      <c r="A60" s="10"/>
      <c r="B60" s="897"/>
      <c r="C60" s="901">
        <v>16.5</v>
      </c>
      <c r="D60" s="625">
        <f>IF('Terms of Use'!$Z$67=1,(V60+(V60*$J$11)),(V60+(V60*$J$11)-550))</f>
        <v>30642</v>
      </c>
      <c r="E60" s="820"/>
      <c r="F60" s="847"/>
      <c r="G60" s="917"/>
      <c r="H60" s="764"/>
      <c r="I60" s="847"/>
      <c r="J60" s="427"/>
      <c r="K60" s="774"/>
      <c r="L60" s="822" t="s">
        <v>62</v>
      </c>
      <c r="M60" s="918"/>
      <c r="N60" s="914"/>
      <c r="O60" s="914"/>
      <c r="P60" s="914"/>
      <c r="Q60" s="774"/>
      <c r="R60" s="765"/>
      <c r="S60" s="766"/>
      <c r="T60" s="899"/>
      <c r="U60" s="902">
        <v>16.5</v>
      </c>
      <c r="V60" s="722">
        <v>30642</v>
      </c>
      <c r="W60" s="867"/>
      <c r="X60" s="858"/>
      <c r="Y60" s="919"/>
      <c r="Z60" s="867"/>
      <c r="AA60" s="906"/>
      <c r="AB60" s="907"/>
      <c r="AC60" s="907"/>
      <c r="AD60" s="907"/>
      <c r="AE60" s="907"/>
      <c r="AF60" s="800"/>
      <c r="AG60" s="916"/>
      <c r="AH60" s="916"/>
      <c r="AI60" s="10"/>
    </row>
    <row r="61" spans="1:35" ht="15">
      <c r="A61" s="10"/>
      <c r="B61" s="897" t="s">
        <v>6</v>
      </c>
      <c r="C61" s="778">
        <v>17</v>
      </c>
      <c r="D61" s="625">
        <f>IF('Terms of Use'!$Z$67=1,(V61+(V61*$J$11)),(V61+(V61*$J$11)-550))</f>
        <v>30642</v>
      </c>
      <c r="E61" s="820"/>
      <c r="F61" s="920"/>
      <c r="G61" s="917"/>
      <c r="H61" s="764"/>
      <c r="I61" s="847"/>
      <c r="J61" s="427"/>
      <c r="K61" s="774"/>
      <c r="L61" s="822" t="s">
        <v>48</v>
      </c>
      <c r="M61" s="918"/>
      <c r="N61" s="914"/>
      <c r="O61" s="914"/>
      <c r="P61" s="914"/>
      <c r="Q61" s="774"/>
      <c r="R61" s="765"/>
      <c r="S61" s="766"/>
      <c r="T61" s="899" t="s">
        <v>6</v>
      </c>
      <c r="U61" s="884">
        <v>17</v>
      </c>
      <c r="V61" s="722">
        <v>30642</v>
      </c>
      <c r="W61" s="867"/>
      <c r="X61" s="921"/>
      <c r="Y61" s="919"/>
      <c r="Z61" s="867"/>
      <c r="AA61" s="906"/>
      <c r="AB61" s="922" t="s">
        <v>47</v>
      </c>
      <c r="AC61" s="923"/>
      <c r="AD61" s="924"/>
      <c r="AE61" s="925"/>
      <c r="AF61" s="800"/>
      <c r="AG61" s="916"/>
      <c r="AH61" s="916"/>
      <c r="AI61" s="10"/>
    </row>
    <row r="62" spans="1:35" ht="16.5" thickBot="1">
      <c r="A62" s="10"/>
      <c r="B62" s="887"/>
      <c r="C62" s="926"/>
      <c r="D62" s="927"/>
      <c r="E62" s="820"/>
      <c r="F62" s="928"/>
      <c r="G62" s="802"/>
      <c r="H62" s="764"/>
      <c r="I62" s="929"/>
      <c r="J62" s="930"/>
      <c r="K62" s="774"/>
      <c r="L62" s="822" t="s">
        <v>49</v>
      </c>
      <c r="M62" s="436">
        <f>($D$22)</f>
        <v>38596</v>
      </c>
      <c r="N62" s="468"/>
      <c r="O62" s="468"/>
      <c r="P62" s="468"/>
      <c r="Q62" s="774"/>
      <c r="R62" s="765"/>
      <c r="S62" s="776"/>
      <c r="T62" s="931"/>
      <c r="U62" s="932"/>
      <c r="V62" s="933"/>
      <c r="W62" s="777"/>
      <c r="X62" s="934"/>
      <c r="Y62" s="808"/>
      <c r="Z62" s="777"/>
      <c r="AA62" s="906"/>
      <c r="AB62" s="935" t="s">
        <v>62</v>
      </c>
      <c r="AC62" s="916"/>
      <c r="AD62" s="936" t="s">
        <v>49</v>
      </c>
      <c r="AE62" s="937">
        <f>$U$22</f>
        <v>38596</v>
      </c>
      <c r="AF62" s="800"/>
      <c r="AG62" s="938"/>
      <c r="AH62" s="938"/>
      <c r="AI62" s="10"/>
    </row>
    <row r="63" spans="1:35" ht="17.25" thickBot="1" thickTop="1">
      <c r="A63" s="10"/>
      <c r="B63" s="764"/>
      <c r="C63" s="764"/>
      <c r="D63" s="764"/>
      <c r="E63" s="764"/>
      <c r="F63" s="764"/>
      <c r="G63" s="764"/>
      <c r="H63" s="764"/>
      <c r="I63" s="764"/>
      <c r="J63" s="764"/>
      <c r="K63" s="774"/>
      <c r="L63" s="805"/>
      <c r="M63" s="430">
        <f>IF('Terms of Use'!$Z$67=1,(AE63+(AE63*$J$11)),(AE63+(AE63*$J$11)-550))</f>
        <v>0</v>
      </c>
      <c r="N63" s="469"/>
      <c r="O63" s="469"/>
      <c r="P63" s="469"/>
      <c r="Q63" s="772"/>
      <c r="R63" s="939"/>
      <c r="S63" s="777"/>
      <c r="T63" s="777"/>
      <c r="U63" s="777"/>
      <c r="V63" s="777"/>
      <c r="W63" s="777"/>
      <c r="X63" s="766"/>
      <c r="Y63" s="766"/>
      <c r="Z63" s="777"/>
      <c r="AA63" s="776"/>
      <c r="AB63" s="935" t="s">
        <v>48</v>
      </c>
      <c r="AC63" s="800"/>
      <c r="AD63" s="940"/>
      <c r="AE63" s="728">
        <v>0</v>
      </c>
      <c r="AF63" s="800"/>
      <c r="AG63" s="938"/>
      <c r="AH63" s="941" t="s">
        <v>184</v>
      </c>
      <c r="AI63" s="10"/>
    </row>
    <row r="64" spans="1:35" ht="16.5" thickTop="1">
      <c r="A64" s="10"/>
      <c r="B64" s="764"/>
      <c r="C64" s="764"/>
      <c r="D64" s="764"/>
      <c r="E64" s="764"/>
      <c r="F64" s="764"/>
      <c r="G64" s="764"/>
      <c r="H64" s="764"/>
      <c r="I64" s="764"/>
      <c r="J64" s="764"/>
      <c r="K64" s="774"/>
      <c r="L64" s="942"/>
      <c r="M64" s="943"/>
      <c r="N64" s="944"/>
      <c r="O64" s="944"/>
      <c r="P64" s="944"/>
      <c r="Q64" s="772"/>
      <c r="R64" s="939"/>
      <c r="S64" s="777"/>
      <c r="T64" s="777"/>
      <c r="U64" s="777"/>
      <c r="V64" s="777"/>
      <c r="W64" s="777"/>
      <c r="X64" s="766"/>
      <c r="Y64" s="766"/>
      <c r="Z64" s="777"/>
      <c r="AA64" s="776"/>
      <c r="AB64" s="831"/>
      <c r="AC64" s="945"/>
      <c r="AD64" s="932"/>
      <c r="AE64" s="946"/>
      <c r="AF64" s="940"/>
      <c r="AG64" s="940"/>
      <c r="AH64" s="941" t="s">
        <v>190</v>
      </c>
      <c r="AI64" s="10"/>
    </row>
    <row r="65" spans="1:35" ht="15.75">
      <c r="A65" s="10"/>
      <c r="B65" s="947" t="s">
        <v>26</v>
      </c>
      <c r="C65" s="911"/>
      <c r="D65" s="948" t="str">
        <f ca="1">CELL("filename",A3:A3)</f>
        <v>F:\exceledSiteWebD\systems\[salarycalc.xls]Salary Scales</v>
      </c>
      <c r="E65" s="764"/>
      <c r="F65" s="764"/>
      <c r="G65" s="764"/>
      <c r="H65" s="764"/>
      <c r="I65" s="764"/>
      <c r="J65" s="764"/>
      <c r="K65" s="774"/>
      <c r="L65" s="949"/>
      <c r="M65" s="950"/>
      <c r="N65" s="950"/>
      <c r="O65" s="950"/>
      <c r="P65" s="950"/>
      <c r="Q65" s="772"/>
      <c r="R65" s="939"/>
      <c r="S65" s="777"/>
      <c r="T65" s="777"/>
      <c r="U65" s="777"/>
      <c r="V65" s="777"/>
      <c r="W65" s="777"/>
      <c r="X65" s="766"/>
      <c r="Y65" s="766"/>
      <c r="Z65" s="777"/>
      <c r="AA65" s="776"/>
      <c r="AB65" s="776"/>
      <c r="AC65" s="776"/>
      <c r="AD65" s="776"/>
      <c r="AE65" s="767"/>
      <c r="AF65" s="767"/>
      <c r="AG65" s="767"/>
      <c r="AH65" s="767"/>
      <c r="AI65" s="10"/>
    </row>
    <row r="66" spans="1:35" ht="15.75">
      <c r="A66" s="10"/>
      <c r="B66" s="764"/>
      <c r="C66" s="764"/>
      <c r="D66" s="764"/>
      <c r="E66" s="764"/>
      <c r="F66" s="764"/>
      <c r="G66" s="764"/>
      <c r="H66" s="764"/>
      <c r="I66" s="764"/>
      <c r="J66" s="764"/>
      <c r="K66" s="774"/>
      <c r="L66" s="949"/>
      <c r="M66" s="950"/>
      <c r="N66" s="950"/>
      <c r="O66" s="950"/>
      <c r="P66" s="950"/>
      <c r="Q66" s="772"/>
      <c r="R66" s="939"/>
      <c r="S66" s="777"/>
      <c r="T66" s="777"/>
      <c r="U66" s="777"/>
      <c r="V66" s="777"/>
      <c r="W66" s="777"/>
      <c r="X66" s="777"/>
      <c r="Y66" s="777"/>
      <c r="Z66" s="777"/>
      <c r="AA66" s="776"/>
      <c r="AB66" s="776"/>
      <c r="AC66" s="776"/>
      <c r="AD66" s="776"/>
      <c r="AE66" s="767"/>
      <c r="AF66" s="767"/>
      <c r="AG66" s="767"/>
      <c r="AH66" s="767"/>
      <c r="AI66" s="10"/>
    </row>
    <row r="67" spans="1:35" ht="18">
      <c r="A67" s="10"/>
      <c r="B67" s="784" t="s">
        <v>92</v>
      </c>
      <c r="C67" s="768"/>
      <c r="D67" s="768"/>
      <c r="E67" s="768"/>
      <c r="F67" s="768"/>
      <c r="G67" s="768"/>
      <c r="H67" s="768"/>
      <c r="I67" s="768"/>
      <c r="J67" s="768"/>
      <c r="K67" s="772"/>
      <c r="L67" s="951"/>
      <c r="M67" s="772"/>
      <c r="N67" s="772"/>
      <c r="O67" s="772"/>
      <c r="P67" s="772"/>
      <c r="Q67" s="772"/>
      <c r="R67" s="939"/>
      <c r="S67" s="777"/>
      <c r="T67" s="777"/>
      <c r="U67" s="777"/>
      <c r="V67" s="777"/>
      <c r="W67" s="777"/>
      <c r="X67" s="777"/>
      <c r="Y67" s="777"/>
      <c r="Z67" s="777"/>
      <c r="AA67" s="776"/>
      <c r="AB67" s="776"/>
      <c r="AC67" s="776"/>
      <c r="AD67" s="776"/>
      <c r="AE67" s="767"/>
      <c r="AF67" s="767"/>
      <c r="AG67" s="767"/>
      <c r="AH67" s="767"/>
      <c r="AI67" s="10"/>
    </row>
    <row r="68" spans="1:35" ht="18">
      <c r="A68" s="10"/>
      <c r="B68" s="784"/>
      <c r="C68" s="768"/>
      <c r="D68" s="768"/>
      <c r="E68" s="768"/>
      <c r="F68" s="624" t="str">
        <f>IF('Terms of Use'!$H$31='Terms of Use'!$O$2,"   **UNAUTHORISED USER!  THIS DOCUMENT WILL NOT CALCULATE ACCURATELY**",0)</f>
        <v>   **UNAUTHORISED USER!  THIS DOCUMENT WILL NOT CALCULATE ACCURATELY**</v>
      </c>
      <c r="G68" s="768"/>
      <c r="H68" s="768"/>
      <c r="I68" s="768"/>
      <c r="J68" s="768"/>
      <c r="K68" s="772"/>
      <c r="L68" s="772"/>
      <c r="M68" s="772"/>
      <c r="N68" s="772"/>
      <c r="O68" s="772"/>
      <c r="P68" s="772"/>
      <c r="Q68" s="772"/>
      <c r="R68" s="939"/>
      <c r="S68" s="777"/>
      <c r="T68" s="777"/>
      <c r="U68" s="777"/>
      <c r="V68" s="777"/>
      <c r="W68" s="777"/>
      <c r="X68" s="777"/>
      <c r="Y68" s="777"/>
      <c r="Z68" s="1121" t="s">
        <v>183</v>
      </c>
      <c r="AA68" s="1122"/>
      <c r="AB68" s="1122"/>
      <c r="AC68" s="776"/>
      <c r="AD68" s="776"/>
      <c r="AE68" s="767"/>
      <c r="AF68" s="767"/>
      <c r="AG68" s="767"/>
      <c r="AH68" s="767"/>
      <c r="AI68" s="10"/>
    </row>
    <row r="69" spans="1:35" ht="18">
      <c r="A69" s="10"/>
      <c r="B69" s="952" t="s">
        <v>50</v>
      </c>
      <c r="C69" s="953"/>
      <c r="D69" s="953"/>
      <c r="E69" s="953"/>
      <c r="F69" s="954"/>
      <c r="G69" s="624"/>
      <c r="H69" s="764"/>
      <c r="I69" s="764"/>
      <c r="J69" s="764"/>
      <c r="K69" s="772"/>
      <c r="L69" s="772"/>
      <c r="M69" s="772"/>
      <c r="N69" s="772"/>
      <c r="O69" s="772"/>
      <c r="P69" s="772"/>
      <c r="Q69" s="772"/>
      <c r="R69" s="939"/>
      <c r="S69" s="777"/>
      <c r="T69" s="955" t="s">
        <v>50</v>
      </c>
      <c r="U69" s="956"/>
      <c r="V69" s="956"/>
      <c r="W69" s="957"/>
      <c r="X69" s="958"/>
      <c r="Y69" s="958"/>
      <c r="Z69" s="777"/>
      <c r="AA69" s="776"/>
      <c r="AB69" s="776"/>
      <c r="AC69" s="776"/>
      <c r="AD69" s="776"/>
      <c r="AE69" s="767"/>
      <c r="AF69" s="767"/>
      <c r="AG69" s="767"/>
      <c r="AH69" s="767"/>
      <c r="AI69" s="10"/>
    </row>
    <row r="70" spans="1:35" ht="19.5" customHeight="1" thickBot="1">
      <c r="A70" s="10"/>
      <c r="B70" s="952"/>
      <c r="C70" s="959"/>
      <c r="D70" s="960" t="s">
        <v>51</v>
      </c>
      <c r="E70" s="960"/>
      <c r="F70" s="961"/>
      <c r="G70" s="735">
        <v>38443</v>
      </c>
      <c r="H70" s="764"/>
      <c r="I70" s="764"/>
      <c r="J70" s="771" t="s">
        <v>90</v>
      </c>
      <c r="K70" s="774"/>
      <c r="L70" s="764"/>
      <c r="M70" s="775"/>
      <c r="N70" s="775"/>
      <c r="O70" s="775"/>
      <c r="P70" s="775"/>
      <c r="Q70" s="772"/>
      <c r="R70" s="939"/>
      <c r="S70" s="777"/>
      <c r="T70" s="955"/>
      <c r="U70" s="962"/>
      <c r="V70" s="963" t="s">
        <v>51</v>
      </c>
      <c r="W70" s="964"/>
      <c r="X70" s="736">
        <v>38443</v>
      </c>
      <c r="Y70" s="766"/>
      <c r="Z70" s="777"/>
      <c r="AA70" s="766"/>
      <c r="AB70" s="776"/>
      <c r="AC70" s="776"/>
      <c r="AD70" s="776"/>
      <c r="AE70" s="767"/>
      <c r="AF70" s="767"/>
      <c r="AG70" s="767"/>
      <c r="AH70" s="767"/>
      <c r="AI70" s="10"/>
    </row>
    <row r="71" spans="1:35" ht="21" customHeight="1" thickBot="1" thickTop="1">
      <c r="A71" s="10"/>
      <c r="B71" s="965"/>
      <c r="C71" s="966" t="s">
        <v>52</v>
      </c>
      <c r="D71" s="967" t="s">
        <v>6</v>
      </c>
      <c r="E71" s="768"/>
      <c r="F71" s="968">
        <v>1</v>
      </c>
      <c r="G71" s="427">
        <v>0</v>
      </c>
      <c r="H71" s="764"/>
      <c r="I71" s="764"/>
      <c r="J71" s="969" t="s">
        <v>91</v>
      </c>
      <c r="K71" s="764"/>
      <c r="L71" s="720">
        <v>0</v>
      </c>
      <c r="M71" s="764"/>
      <c r="N71" s="764"/>
      <c r="O71" s="764"/>
      <c r="P71" s="764"/>
      <c r="Q71" s="768"/>
      <c r="R71" s="939"/>
      <c r="S71" s="777"/>
      <c r="T71" s="970"/>
      <c r="U71" s="971" t="s">
        <v>52</v>
      </c>
      <c r="V71" s="867" t="s">
        <v>6</v>
      </c>
      <c r="W71" s="464">
        <v>1</v>
      </c>
      <c r="X71" s="724">
        <v>0</v>
      </c>
      <c r="Y71" s="766"/>
      <c r="Z71" s="777"/>
      <c r="AA71" s="972"/>
      <c r="AB71" s="776"/>
      <c r="AC71" s="776"/>
      <c r="AD71" s="776"/>
      <c r="AE71" s="767"/>
      <c r="AF71" s="767"/>
      <c r="AG71" s="767"/>
      <c r="AH71" s="767"/>
      <c r="AI71" s="10"/>
    </row>
    <row r="72" spans="1:35" ht="15.75" thickTop="1">
      <c r="A72" s="10"/>
      <c r="B72" s="965"/>
      <c r="C72" s="966"/>
      <c r="D72" s="967" t="s">
        <v>6</v>
      </c>
      <c r="E72" s="768"/>
      <c r="F72" s="968">
        <v>2</v>
      </c>
      <c r="G72" s="427">
        <v>0</v>
      </c>
      <c r="H72" s="764"/>
      <c r="I72" s="764"/>
      <c r="J72" s="764"/>
      <c r="K72" s="764"/>
      <c r="L72" s="973"/>
      <c r="M72" s="974"/>
      <c r="N72" s="974"/>
      <c r="O72" s="974"/>
      <c r="P72" s="974"/>
      <c r="Q72" s="768"/>
      <c r="R72" s="939"/>
      <c r="S72" s="777"/>
      <c r="T72" s="970"/>
      <c r="U72" s="971"/>
      <c r="V72" s="867" t="s">
        <v>6</v>
      </c>
      <c r="W72" s="464">
        <v>2</v>
      </c>
      <c r="X72" s="724">
        <v>0</v>
      </c>
      <c r="Y72" s="766"/>
      <c r="Z72" s="777"/>
      <c r="AA72" s="972"/>
      <c r="AB72" s="776"/>
      <c r="AC72" s="776"/>
      <c r="AD72" s="776"/>
      <c r="AE72" s="767"/>
      <c r="AF72" s="767"/>
      <c r="AG72" s="767"/>
      <c r="AH72" s="767"/>
      <c r="AI72" s="10"/>
    </row>
    <row r="73" spans="1:35" ht="15">
      <c r="A73" s="10"/>
      <c r="B73" s="965"/>
      <c r="C73" s="966"/>
      <c r="D73" s="967" t="s">
        <v>6</v>
      </c>
      <c r="E73" s="768"/>
      <c r="F73" s="968">
        <v>3</v>
      </c>
      <c r="G73" s="427">
        <f>(X73/100*103)</f>
        <v>0</v>
      </c>
      <c r="H73" s="764"/>
      <c r="I73" s="764"/>
      <c r="J73" s="764"/>
      <c r="K73" s="764"/>
      <c r="L73" s="974"/>
      <c r="M73" s="974"/>
      <c r="N73" s="974"/>
      <c r="O73" s="974"/>
      <c r="P73" s="974"/>
      <c r="Q73" s="768"/>
      <c r="R73" s="939"/>
      <c r="S73" s="777"/>
      <c r="T73" s="970"/>
      <c r="U73" s="971"/>
      <c r="V73" s="867" t="s">
        <v>6</v>
      </c>
      <c r="W73" s="464">
        <v>3</v>
      </c>
      <c r="X73" s="724">
        <v>0</v>
      </c>
      <c r="Y73" s="766"/>
      <c r="Z73" s="777"/>
      <c r="AA73" s="972"/>
      <c r="AB73" s="776"/>
      <c r="AC73" s="776"/>
      <c r="AD73" s="776"/>
      <c r="AE73" s="767"/>
      <c r="AF73" s="767"/>
      <c r="AG73" s="767"/>
      <c r="AH73" s="767"/>
      <c r="AI73" s="10"/>
    </row>
    <row r="74" spans="1:35" ht="18">
      <c r="A74" s="10"/>
      <c r="B74" s="965"/>
      <c r="C74" s="966"/>
      <c r="D74" s="967" t="s">
        <v>6</v>
      </c>
      <c r="E74" s="768"/>
      <c r="F74" s="968">
        <v>4</v>
      </c>
      <c r="G74" s="427">
        <f>IF('Terms of Use'!$D$33=0,(X74+(X74*$L$71)),(X74+(X74*$L$71)-550))</f>
        <v>12608</v>
      </c>
      <c r="H74" s="764"/>
      <c r="I74" s="624"/>
      <c r="J74" s="764"/>
      <c r="K74" s="764"/>
      <c r="L74" s="764"/>
      <c r="M74" s="764"/>
      <c r="N74" s="764"/>
      <c r="O74" s="764"/>
      <c r="P74" s="764"/>
      <c r="Q74" s="768"/>
      <c r="R74" s="939"/>
      <c r="S74" s="777"/>
      <c r="T74" s="970"/>
      <c r="U74" s="971"/>
      <c r="V74" s="867" t="s">
        <v>6</v>
      </c>
      <c r="W74" s="464">
        <v>4</v>
      </c>
      <c r="X74" s="724">
        <v>13158</v>
      </c>
      <c r="Y74" s="766"/>
      <c r="Z74" s="777"/>
      <c r="AA74" s="972"/>
      <c r="AB74" s="776"/>
      <c r="AC74" s="776"/>
      <c r="AD74" s="776"/>
      <c r="AE74" s="767"/>
      <c r="AF74" s="767"/>
      <c r="AG74" s="767"/>
      <c r="AH74" s="767"/>
      <c r="AI74" s="10"/>
    </row>
    <row r="75" spans="1:35" ht="15">
      <c r="A75" s="10"/>
      <c r="B75" s="965"/>
      <c r="C75" s="966"/>
      <c r="D75" s="967" t="s">
        <v>6</v>
      </c>
      <c r="E75" s="768"/>
      <c r="F75" s="968">
        <v>5</v>
      </c>
      <c r="G75" s="427">
        <f>IF('Terms of Use'!$D$33=0,(X75+(X75*$L$71)),(X75+(X75*$L$71)-550))</f>
        <v>12836</v>
      </c>
      <c r="H75" s="764"/>
      <c r="I75" s="764"/>
      <c r="J75" s="764"/>
      <c r="K75" s="764"/>
      <c r="L75" s="768"/>
      <c r="M75" s="768"/>
      <c r="N75" s="768"/>
      <c r="O75" s="768"/>
      <c r="P75" s="768"/>
      <c r="Q75" s="768"/>
      <c r="R75" s="939"/>
      <c r="S75" s="777"/>
      <c r="T75" s="970"/>
      <c r="U75" s="971"/>
      <c r="V75" s="867" t="s">
        <v>6</v>
      </c>
      <c r="W75" s="464">
        <v>5</v>
      </c>
      <c r="X75" s="724">
        <v>13386</v>
      </c>
      <c r="Y75" s="766"/>
      <c r="Z75" s="777"/>
      <c r="AA75" s="972"/>
      <c r="AB75" s="776"/>
      <c r="AC75" s="776"/>
      <c r="AD75" s="776"/>
      <c r="AE75" s="767"/>
      <c r="AF75" s="767"/>
      <c r="AG75" s="767"/>
      <c r="AH75" s="767"/>
      <c r="AI75" s="10"/>
    </row>
    <row r="76" spans="1:35" ht="15">
      <c r="A76" s="10"/>
      <c r="B76" s="965" t="s">
        <v>53</v>
      </c>
      <c r="C76" s="966"/>
      <c r="D76" s="967" t="s">
        <v>6</v>
      </c>
      <c r="E76" s="768"/>
      <c r="F76" s="968">
        <v>6</v>
      </c>
      <c r="G76" s="427">
        <f>IF('Terms of Use'!$D$33=0,(X76+(X76*$L$71)),(X76+(X76*$L$71)-550))</f>
        <v>12953</v>
      </c>
      <c r="H76" s="764"/>
      <c r="I76" s="764"/>
      <c r="J76" s="764"/>
      <c r="K76" s="768"/>
      <c r="L76" s="768"/>
      <c r="M76" s="768"/>
      <c r="N76" s="768"/>
      <c r="O76" s="768"/>
      <c r="P76" s="768"/>
      <c r="Q76" s="768"/>
      <c r="R76" s="939"/>
      <c r="S76" s="777"/>
      <c r="T76" s="970"/>
      <c r="U76" s="971"/>
      <c r="V76" s="867" t="s">
        <v>6</v>
      </c>
      <c r="W76" s="464">
        <v>6</v>
      </c>
      <c r="X76" s="724">
        <v>13503</v>
      </c>
      <c r="Y76" s="766"/>
      <c r="Z76" s="777"/>
      <c r="AA76" s="972"/>
      <c r="AB76" s="776"/>
      <c r="AC76" s="776"/>
      <c r="AD76" s="776"/>
      <c r="AE76" s="767"/>
      <c r="AF76" s="767"/>
      <c r="AG76" s="767"/>
      <c r="AH76" s="767"/>
      <c r="AI76" s="10"/>
    </row>
    <row r="77" spans="1:35" ht="15">
      <c r="A77" s="10"/>
      <c r="B77" s="965"/>
      <c r="C77" s="966"/>
      <c r="D77" s="967" t="s">
        <v>6</v>
      </c>
      <c r="E77" s="768"/>
      <c r="F77" s="968">
        <v>7</v>
      </c>
      <c r="G77" s="427">
        <f>IF('Terms of Use'!$D$33=0,(X77+(X77*$L$71)),(X77+(X77*$L$71)-550))</f>
        <v>13313</v>
      </c>
      <c r="H77" s="764"/>
      <c r="I77" s="764"/>
      <c r="J77" s="764"/>
      <c r="K77" s="768"/>
      <c r="L77" s="768"/>
      <c r="M77" s="768"/>
      <c r="N77" s="768"/>
      <c r="O77" s="768"/>
      <c r="P77" s="768"/>
      <c r="Q77" s="768"/>
      <c r="R77" s="939"/>
      <c r="S77" s="777"/>
      <c r="T77" s="970"/>
      <c r="U77" s="971"/>
      <c r="V77" s="867" t="s">
        <v>6</v>
      </c>
      <c r="W77" s="464">
        <v>7</v>
      </c>
      <c r="X77" s="724">
        <v>13863</v>
      </c>
      <c r="Y77" s="766"/>
      <c r="Z77" s="777"/>
      <c r="AA77" s="972"/>
      <c r="AB77" s="776"/>
      <c r="AC77" s="776"/>
      <c r="AD77" s="776"/>
      <c r="AE77" s="767"/>
      <c r="AF77" s="767"/>
      <c r="AG77" s="767"/>
      <c r="AH77" s="767"/>
      <c r="AI77" s="10"/>
    </row>
    <row r="78" spans="1:35" ht="15">
      <c r="A78" s="10"/>
      <c r="B78" s="965"/>
      <c r="C78" s="966"/>
      <c r="D78" s="967" t="s">
        <v>6</v>
      </c>
      <c r="E78" s="768"/>
      <c r="F78" s="968">
        <v>8</v>
      </c>
      <c r="G78" s="427">
        <f>IF('Terms of Use'!$D$33=0,(X78+(X78*$L$71)),(X78+(X78*$L$71)-550))</f>
        <v>13676</v>
      </c>
      <c r="H78" s="764"/>
      <c r="I78" s="764"/>
      <c r="J78" s="764"/>
      <c r="K78" s="768"/>
      <c r="L78" s="764"/>
      <c r="M78" s="764"/>
      <c r="N78" s="764"/>
      <c r="O78" s="764"/>
      <c r="P78" s="764"/>
      <c r="Q78" s="768"/>
      <c r="R78" s="939"/>
      <c r="S78" s="777"/>
      <c r="T78" s="970"/>
      <c r="U78" s="971"/>
      <c r="V78" s="867" t="s">
        <v>6</v>
      </c>
      <c r="W78" s="464">
        <v>8</v>
      </c>
      <c r="X78" s="724">
        <v>14226</v>
      </c>
      <c r="Y78" s="766"/>
      <c r="Z78" s="777"/>
      <c r="AA78" s="972"/>
      <c r="AB78" s="776"/>
      <c r="AC78" s="776"/>
      <c r="AD78" s="776"/>
      <c r="AE78" s="767"/>
      <c r="AF78" s="767"/>
      <c r="AG78" s="767"/>
      <c r="AH78" s="767"/>
      <c r="AI78" s="10"/>
    </row>
    <row r="79" spans="1:35" ht="15">
      <c r="A79" s="10"/>
      <c r="B79" s="965"/>
      <c r="C79" s="966"/>
      <c r="D79" s="967" t="s">
        <v>6</v>
      </c>
      <c r="E79" s="768"/>
      <c r="F79" s="968">
        <v>9</v>
      </c>
      <c r="G79" s="427">
        <f>IF('Terms of Use'!$D$33=0,(X79+(X79*$L$71)),(X79+(X79*$L$71)-550))</f>
        <v>14033</v>
      </c>
      <c r="H79" s="764"/>
      <c r="I79" s="764"/>
      <c r="J79" s="764"/>
      <c r="K79" s="764"/>
      <c r="L79" s="768"/>
      <c r="M79" s="768"/>
      <c r="N79" s="768"/>
      <c r="O79" s="768"/>
      <c r="P79" s="768"/>
      <c r="Q79" s="768"/>
      <c r="R79" s="939"/>
      <c r="S79" s="777"/>
      <c r="T79" s="970"/>
      <c r="U79" s="971"/>
      <c r="V79" s="867" t="s">
        <v>6</v>
      </c>
      <c r="W79" s="464">
        <v>9</v>
      </c>
      <c r="X79" s="724">
        <v>14583</v>
      </c>
      <c r="Y79" s="766"/>
      <c r="Z79" s="777"/>
      <c r="AA79" s="972"/>
      <c r="AB79" s="776"/>
      <c r="AC79" s="776"/>
      <c r="AD79" s="776"/>
      <c r="AE79" s="767"/>
      <c r="AF79" s="767"/>
      <c r="AG79" s="767"/>
      <c r="AH79" s="767"/>
      <c r="AI79" s="10"/>
    </row>
    <row r="80" spans="1:35" ht="18">
      <c r="A80" s="10"/>
      <c r="B80" s="965"/>
      <c r="C80" s="966" t="s">
        <v>54</v>
      </c>
      <c r="D80" s="967" t="s">
        <v>6</v>
      </c>
      <c r="E80" s="768"/>
      <c r="F80" s="968">
        <v>10</v>
      </c>
      <c r="G80" s="427">
        <f>IF('Terms of Use'!$D$33=0,(X80+(X80*$L$71)),(X80+(X80*$L$71)-550))</f>
        <v>14291</v>
      </c>
      <c r="H80" s="764"/>
      <c r="I80" s="764"/>
      <c r="J80" s="764"/>
      <c r="K80" s="764"/>
      <c r="L80" s="768"/>
      <c r="M80" s="975"/>
      <c r="N80" s="975"/>
      <c r="O80" s="975"/>
      <c r="P80" s="975"/>
      <c r="Q80" s="768"/>
      <c r="R80" s="939"/>
      <c r="S80" s="777"/>
      <c r="T80" s="970"/>
      <c r="U80" s="971" t="s">
        <v>54</v>
      </c>
      <c r="V80" s="867" t="s">
        <v>6</v>
      </c>
      <c r="W80" s="464">
        <v>10</v>
      </c>
      <c r="X80" s="724">
        <v>14841</v>
      </c>
      <c r="Y80" s="766"/>
      <c r="Z80" s="777"/>
      <c r="AA80" s="1123"/>
      <c r="AB80" s="1124"/>
      <c r="AC80" s="1124"/>
      <c r="AD80" s="776"/>
      <c r="AE80" s="767"/>
      <c r="AF80" s="767"/>
      <c r="AG80" s="767"/>
      <c r="AH80" s="767"/>
      <c r="AI80" s="10"/>
    </row>
    <row r="81" spans="1:35" ht="15">
      <c r="A81" s="10"/>
      <c r="B81" s="965"/>
      <c r="C81" s="966"/>
      <c r="D81" s="967" t="s">
        <v>6</v>
      </c>
      <c r="E81" s="768"/>
      <c r="F81" s="968">
        <v>11</v>
      </c>
      <c r="G81" s="427">
        <f>IF('Terms of Use'!$D$33=0,(X81+(X81*$L$71)),(X81+(X81*$L$71)-550))</f>
        <v>14504</v>
      </c>
      <c r="H81" s="764"/>
      <c r="I81" s="764"/>
      <c r="J81" s="764"/>
      <c r="K81" s="764"/>
      <c r="L81" s="764"/>
      <c r="M81" s="764"/>
      <c r="N81" s="764"/>
      <c r="O81" s="764"/>
      <c r="P81" s="764"/>
      <c r="Q81" s="768"/>
      <c r="R81" s="939"/>
      <c r="S81" s="777"/>
      <c r="T81" s="970"/>
      <c r="U81" s="971"/>
      <c r="V81" s="867" t="s">
        <v>6</v>
      </c>
      <c r="W81" s="464">
        <v>11</v>
      </c>
      <c r="X81" s="724">
        <v>15054</v>
      </c>
      <c r="Y81" s="766"/>
      <c r="Z81" s="777"/>
      <c r="AA81" s="972"/>
      <c r="AB81" s="776"/>
      <c r="AC81" s="776"/>
      <c r="AD81" s="776"/>
      <c r="AE81" s="767"/>
      <c r="AF81" s="767"/>
      <c r="AG81" s="767"/>
      <c r="AH81" s="767"/>
      <c r="AI81" s="10"/>
    </row>
    <row r="82" spans="1:35" ht="15">
      <c r="A82" s="10"/>
      <c r="B82" s="965"/>
      <c r="C82" s="966"/>
      <c r="D82" s="967" t="s">
        <v>6</v>
      </c>
      <c r="E82" s="768"/>
      <c r="F82" s="968">
        <v>12</v>
      </c>
      <c r="G82" s="427">
        <f>IF('Terms of Use'!$D$33=0,(X82+(X82*$L$71)),(X82+(X82*$L$71)-550))</f>
        <v>14792</v>
      </c>
      <c r="H82" s="764"/>
      <c r="I82" s="764"/>
      <c r="J82" s="764"/>
      <c r="K82" s="764"/>
      <c r="L82" s="976" t="s">
        <v>55</v>
      </c>
      <c r="M82" s="977"/>
      <c r="N82" s="978"/>
      <c r="O82" s="978"/>
      <c r="P82" s="978"/>
      <c r="Q82" s="768"/>
      <c r="R82" s="939"/>
      <c r="S82" s="777"/>
      <c r="T82" s="970"/>
      <c r="U82" s="971"/>
      <c r="V82" s="867" t="s">
        <v>6</v>
      </c>
      <c r="W82" s="464">
        <v>12</v>
      </c>
      <c r="X82" s="724">
        <v>15342</v>
      </c>
      <c r="Y82" s="766"/>
      <c r="Z82" s="777"/>
      <c r="AA82" s="972"/>
      <c r="AB82" s="776"/>
      <c r="AC82" s="979" t="s">
        <v>56</v>
      </c>
      <c r="AD82" s="980"/>
      <c r="AE82" s="767"/>
      <c r="AF82" s="767"/>
      <c r="AG82" s="767"/>
      <c r="AH82" s="767"/>
      <c r="AI82" s="10"/>
    </row>
    <row r="83" spans="1:35" ht="15">
      <c r="A83" s="10"/>
      <c r="B83" s="965"/>
      <c r="C83" s="966"/>
      <c r="D83" s="967" t="s">
        <v>6</v>
      </c>
      <c r="E83" s="768"/>
      <c r="F83" s="968">
        <v>13</v>
      </c>
      <c r="G83" s="427">
        <f>IF('Terms of Use'!$D$33=0,(X83+(X83*$L$71)),(X83+(X83*$L$71)-550))</f>
        <v>15158</v>
      </c>
      <c r="H83" s="764"/>
      <c r="I83" s="764"/>
      <c r="J83" s="764"/>
      <c r="K83" s="764"/>
      <c r="L83" s="821" t="s">
        <v>48</v>
      </c>
      <c r="M83" s="811"/>
      <c r="N83" s="978"/>
      <c r="O83" s="978"/>
      <c r="P83" s="978"/>
      <c r="Q83" s="768"/>
      <c r="R83" s="939"/>
      <c r="S83" s="777"/>
      <c r="T83" s="970"/>
      <c r="U83" s="971"/>
      <c r="V83" s="867" t="s">
        <v>6</v>
      </c>
      <c r="W83" s="464">
        <v>13</v>
      </c>
      <c r="X83" s="724">
        <v>15708</v>
      </c>
      <c r="Y83" s="766"/>
      <c r="Z83" s="766"/>
      <c r="AA83" s="972"/>
      <c r="AB83" s="776"/>
      <c r="AC83" s="935" t="s">
        <v>57</v>
      </c>
      <c r="AD83" s="815"/>
      <c r="AE83" s="767"/>
      <c r="AF83" s="767"/>
      <c r="AG83" s="767"/>
      <c r="AH83" s="767"/>
      <c r="AI83" s="10"/>
    </row>
    <row r="84" spans="1:35" ht="15">
      <c r="A84" s="10"/>
      <c r="B84" s="965"/>
      <c r="C84" s="966" t="s">
        <v>58</v>
      </c>
      <c r="D84" s="967" t="s">
        <v>6</v>
      </c>
      <c r="E84" s="768"/>
      <c r="F84" s="968">
        <v>14</v>
      </c>
      <c r="G84" s="427">
        <f>IF('Terms of Use'!$D$33=0,(X84+(X84*$L$71)),(X84+(X84*$L$71)-550))</f>
        <v>15419</v>
      </c>
      <c r="H84" s="764"/>
      <c r="I84" s="764"/>
      <c r="J84" s="764"/>
      <c r="K84" s="764"/>
      <c r="L84" s="981"/>
      <c r="M84" s="811"/>
      <c r="N84" s="978"/>
      <c r="O84" s="978"/>
      <c r="P84" s="978"/>
      <c r="Q84" s="768"/>
      <c r="R84" s="939"/>
      <c r="S84" s="777"/>
      <c r="T84" s="970"/>
      <c r="U84" s="971" t="s">
        <v>58</v>
      </c>
      <c r="V84" s="867" t="s">
        <v>6</v>
      </c>
      <c r="W84" s="464">
        <v>14</v>
      </c>
      <c r="X84" s="724">
        <v>15969</v>
      </c>
      <c r="Y84" s="766"/>
      <c r="Z84" s="766"/>
      <c r="AA84" s="972"/>
      <c r="AB84" s="776"/>
      <c r="AC84" s="982" t="s">
        <v>59</v>
      </c>
      <c r="AD84" s="815"/>
      <c r="AE84" s="767"/>
      <c r="AF84" s="767"/>
      <c r="AG84" s="767"/>
      <c r="AH84" s="767"/>
      <c r="AI84" s="10"/>
    </row>
    <row r="85" spans="1:35" ht="15">
      <c r="A85" s="10"/>
      <c r="B85" s="965"/>
      <c r="C85" s="966"/>
      <c r="D85" s="967" t="s">
        <v>6</v>
      </c>
      <c r="E85" s="768"/>
      <c r="F85" s="968">
        <v>15</v>
      </c>
      <c r="G85" s="427">
        <f>IF('Terms of Use'!$D$33=0,(X85+(X85*$L$71)),(X85+(X85*$L$71)-550))</f>
        <v>15716</v>
      </c>
      <c r="H85" s="764"/>
      <c r="I85" s="764"/>
      <c r="J85" s="764"/>
      <c r="K85" s="764"/>
      <c r="L85" s="965"/>
      <c r="M85" s="811"/>
      <c r="N85" s="978"/>
      <c r="O85" s="978"/>
      <c r="P85" s="978"/>
      <c r="Q85" s="768"/>
      <c r="R85" s="939"/>
      <c r="S85" s="777"/>
      <c r="T85" s="970"/>
      <c r="U85" s="971"/>
      <c r="V85" s="867" t="s">
        <v>6</v>
      </c>
      <c r="W85" s="464">
        <v>15</v>
      </c>
      <c r="X85" s="724">
        <v>16266</v>
      </c>
      <c r="Y85" s="766"/>
      <c r="Z85" s="766"/>
      <c r="AA85" s="972"/>
      <c r="AB85" s="776"/>
      <c r="AC85" s="809"/>
      <c r="AD85" s="815"/>
      <c r="AE85" s="767"/>
      <c r="AF85" s="767"/>
      <c r="AG85" s="767"/>
      <c r="AH85" s="767"/>
      <c r="AI85" s="10"/>
    </row>
    <row r="86" spans="1:35" ht="15">
      <c r="A86" s="10"/>
      <c r="B86" s="965"/>
      <c r="C86" s="966"/>
      <c r="D86" s="967" t="s">
        <v>6</v>
      </c>
      <c r="E86" s="768"/>
      <c r="F86" s="968">
        <v>16</v>
      </c>
      <c r="G86" s="427">
        <f>IF('Terms of Use'!$D$33=0,(X86+(X86*$L$71)),(X86+(X86*$L$71)-550))</f>
        <v>16070</v>
      </c>
      <c r="H86" s="764"/>
      <c r="I86" s="764"/>
      <c r="J86" s="764"/>
      <c r="K86" s="764"/>
      <c r="L86" s="821" t="s">
        <v>49</v>
      </c>
      <c r="M86" s="804">
        <f>($G$70)</f>
        <v>38443</v>
      </c>
      <c r="N86" s="466"/>
      <c r="O86" s="466"/>
      <c r="P86" s="466"/>
      <c r="Q86" s="768"/>
      <c r="R86" s="939"/>
      <c r="S86" s="777"/>
      <c r="T86" s="970"/>
      <c r="U86" s="971"/>
      <c r="V86" s="867" t="s">
        <v>6</v>
      </c>
      <c r="W86" s="464">
        <v>16</v>
      </c>
      <c r="X86" s="724">
        <v>16620</v>
      </c>
      <c r="Y86" s="766"/>
      <c r="Z86" s="766"/>
      <c r="AA86" s="972"/>
      <c r="AB86" s="776"/>
      <c r="AC86" s="865" t="s">
        <v>49</v>
      </c>
      <c r="AD86" s="440">
        <f>$X$70</f>
        <v>38443</v>
      </c>
      <c r="AE86" s="767"/>
      <c r="AF86" s="767"/>
      <c r="AG86" s="767"/>
      <c r="AH86" s="767"/>
      <c r="AI86" s="10"/>
    </row>
    <row r="87" spans="1:35" ht="15">
      <c r="A87" s="10"/>
      <c r="B87" s="965"/>
      <c r="C87" s="966"/>
      <c r="D87" s="967" t="s">
        <v>6</v>
      </c>
      <c r="E87" s="768"/>
      <c r="F87" s="968">
        <v>17</v>
      </c>
      <c r="G87" s="427">
        <f>IF('Terms of Use'!$D$33=0,(X87+(X87*$L$71)),(X87+(X87*$L$71)-550))</f>
        <v>16424</v>
      </c>
      <c r="H87" s="764"/>
      <c r="I87" s="764"/>
      <c r="J87" s="764"/>
      <c r="K87" s="764"/>
      <c r="L87" s="965"/>
      <c r="M87" s="871"/>
      <c r="N87" s="983"/>
      <c r="O87" s="983"/>
      <c r="P87" s="983"/>
      <c r="Q87" s="768"/>
      <c r="R87" s="939"/>
      <c r="S87" s="777"/>
      <c r="T87" s="970"/>
      <c r="U87" s="971"/>
      <c r="V87" s="867" t="s">
        <v>6</v>
      </c>
      <c r="W87" s="464">
        <v>17</v>
      </c>
      <c r="X87" s="724">
        <v>16974</v>
      </c>
      <c r="Y87" s="766"/>
      <c r="Z87" s="766"/>
      <c r="AA87" s="972"/>
      <c r="AB87" s="776"/>
      <c r="AC87" s="809"/>
      <c r="AD87" s="984"/>
      <c r="AE87" s="767"/>
      <c r="AF87" s="767"/>
      <c r="AG87" s="767"/>
      <c r="AH87" s="767"/>
      <c r="AI87" s="10"/>
    </row>
    <row r="88" spans="1:35" ht="15.75" thickBot="1">
      <c r="A88" s="10"/>
      <c r="B88" s="965"/>
      <c r="C88" s="966" t="s">
        <v>60</v>
      </c>
      <c r="D88" s="967" t="s">
        <v>6</v>
      </c>
      <c r="E88" s="768"/>
      <c r="F88" s="968">
        <v>18</v>
      </c>
      <c r="G88" s="427">
        <f>IF('Terms of Use'!$D$33=0,(X88+(X88*$L$71)),(X88+(X88*$L$71)-550))</f>
        <v>16727</v>
      </c>
      <c r="H88" s="764"/>
      <c r="I88" s="764"/>
      <c r="J88" s="764"/>
      <c r="K88" s="768"/>
      <c r="L88" s="893"/>
      <c r="M88" s="871"/>
      <c r="N88" s="983"/>
      <c r="O88" s="983"/>
      <c r="P88" s="983"/>
      <c r="Q88" s="768"/>
      <c r="R88" s="939"/>
      <c r="S88" s="777"/>
      <c r="T88" s="970"/>
      <c r="U88" s="971" t="s">
        <v>60</v>
      </c>
      <c r="V88" s="867" t="s">
        <v>6</v>
      </c>
      <c r="W88" s="464">
        <v>18</v>
      </c>
      <c r="X88" s="724">
        <v>17277</v>
      </c>
      <c r="Y88" s="766"/>
      <c r="Z88" s="766"/>
      <c r="AA88" s="972"/>
      <c r="AB88" s="776"/>
      <c r="AC88" s="985"/>
      <c r="AD88" s="984"/>
      <c r="AE88" s="767"/>
      <c r="AF88" s="767"/>
      <c r="AG88" s="767"/>
      <c r="AH88" s="767"/>
      <c r="AI88" s="10"/>
    </row>
    <row r="89" spans="1:35" ht="19.5" thickBot="1" thickTop="1">
      <c r="A89" s="10"/>
      <c r="B89" s="965"/>
      <c r="C89" s="966"/>
      <c r="D89" s="967" t="s">
        <v>6</v>
      </c>
      <c r="E89" s="768"/>
      <c r="F89" s="968">
        <v>19</v>
      </c>
      <c r="G89" s="427">
        <f>IF('Terms of Use'!$D$33=0,(X89+(X89*$L$71)),(X89+(X89*$L$71)-550))</f>
        <v>17315</v>
      </c>
      <c r="H89" s="764"/>
      <c r="I89" s="764"/>
      <c r="J89" s="764"/>
      <c r="K89" s="768"/>
      <c r="L89" s="893"/>
      <c r="M89" s="430">
        <f>(AD89+(AD89*$L$71))</f>
        <v>1074</v>
      </c>
      <c r="N89" s="469"/>
      <c r="O89" s="469"/>
      <c r="P89" s="469"/>
      <c r="Q89" s="768"/>
      <c r="R89" s="939"/>
      <c r="S89" s="777"/>
      <c r="T89" s="970"/>
      <c r="U89" s="971"/>
      <c r="V89" s="867" t="s">
        <v>6</v>
      </c>
      <c r="W89" s="464">
        <v>19</v>
      </c>
      <c r="X89" s="724">
        <v>17865</v>
      </c>
      <c r="Y89" s="766"/>
      <c r="Z89" s="766"/>
      <c r="AA89" s="972"/>
      <c r="AB89" s="776"/>
      <c r="AC89" s="985"/>
      <c r="AD89" s="986">
        <v>1074</v>
      </c>
      <c r="AE89" s="767"/>
      <c r="AF89" s="767"/>
      <c r="AG89" s="767"/>
      <c r="AH89" s="767"/>
      <c r="AI89" s="10"/>
    </row>
    <row r="90" spans="1:35" ht="15.75" thickTop="1">
      <c r="A90" s="10"/>
      <c r="B90" s="965"/>
      <c r="C90" s="966"/>
      <c r="D90" s="967" t="s">
        <v>6</v>
      </c>
      <c r="E90" s="768"/>
      <c r="F90" s="968">
        <v>20</v>
      </c>
      <c r="G90" s="427">
        <f>IF('Terms of Use'!$D$33=0,(X90+(X90*$L$71)),(X90+(X90*$L$71)-550))</f>
        <v>17906</v>
      </c>
      <c r="H90" s="764"/>
      <c r="I90" s="764"/>
      <c r="J90" s="764"/>
      <c r="K90" s="768"/>
      <c r="L90" s="987"/>
      <c r="M90" s="988"/>
      <c r="N90" s="978"/>
      <c r="O90" s="978"/>
      <c r="P90" s="978"/>
      <c r="Q90" s="768"/>
      <c r="R90" s="939"/>
      <c r="S90" s="777"/>
      <c r="T90" s="970"/>
      <c r="U90" s="971"/>
      <c r="V90" s="867" t="s">
        <v>6</v>
      </c>
      <c r="W90" s="464">
        <v>20</v>
      </c>
      <c r="X90" s="724">
        <v>18456</v>
      </c>
      <c r="Y90" s="766"/>
      <c r="Z90" s="766"/>
      <c r="AA90" s="972"/>
      <c r="AB90" s="776"/>
      <c r="AC90" s="989"/>
      <c r="AD90" s="830"/>
      <c r="AE90" s="767"/>
      <c r="AF90" s="767"/>
      <c r="AG90" s="767"/>
      <c r="AH90" s="767"/>
      <c r="AI90" s="10"/>
    </row>
    <row r="91" spans="1:35" ht="18">
      <c r="A91" s="10"/>
      <c r="B91" s="965"/>
      <c r="C91" s="966"/>
      <c r="D91" s="967" t="s">
        <v>6</v>
      </c>
      <c r="E91" s="768"/>
      <c r="F91" s="968">
        <v>21</v>
      </c>
      <c r="G91" s="427">
        <f>IF('Terms of Use'!$D$33=0,(X91+(X91*$L$71)),(X91+(X91*$L$71)-550))</f>
        <v>18518</v>
      </c>
      <c r="H91" s="764"/>
      <c r="I91" s="764"/>
      <c r="J91" s="764"/>
      <c r="K91" s="768"/>
      <c r="L91" s="974"/>
      <c r="M91" s="974"/>
      <c r="N91" s="974"/>
      <c r="O91" s="974"/>
      <c r="P91" s="974"/>
      <c r="Q91" s="768"/>
      <c r="R91" s="939"/>
      <c r="S91" s="777"/>
      <c r="T91" s="970"/>
      <c r="U91" s="971"/>
      <c r="V91" s="867" t="s">
        <v>6</v>
      </c>
      <c r="W91" s="464">
        <v>21</v>
      </c>
      <c r="X91" s="724">
        <v>19068</v>
      </c>
      <c r="Y91" s="766"/>
      <c r="Z91" s="1121" t="s">
        <v>183</v>
      </c>
      <c r="AA91" s="1122"/>
      <c r="AB91" s="1122"/>
      <c r="AC91" s="990"/>
      <c r="AD91" s="990"/>
      <c r="AE91" s="767"/>
      <c r="AF91" s="767"/>
      <c r="AG91" s="767"/>
      <c r="AH91" s="767"/>
      <c r="AI91" s="10"/>
    </row>
    <row r="92" spans="1:35" ht="15">
      <c r="A92" s="10"/>
      <c r="B92" s="965"/>
      <c r="C92" s="966" t="s">
        <v>61</v>
      </c>
      <c r="D92" s="967" t="s">
        <v>6</v>
      </c>
      <c r="E92" s="768"/>
      <c r="F92" s="968">
        <v>22</v>
      </c>
      <c r="G92" s="427">
        <f>IF('Terms of Use'!$D$33=0,(X92+(X92*$L$71)),(X92+(X92*$L$71)-550))</f>
        <v>18971</v>
      </c>
      <c r="H92" s="764"/>
      <c r="I92" s="764"/>
      <c r="J92" s="764"/>
      <c r="K92" s="768"/>
      <c r="L92" s="974"/>
      <c r="M92" s="974"/>
      <c r="N92" s="974"/>
      <c r="O92" s="974"/>
      <c r="P92" s="974"/>
      <c r="Q92" s="768"/>
      <c r="R92" s="939"/>
      <c r="S92" s="777"/>
      <c r="T92" s="970"/>
      <c r="U92" s="971" t="s">
        <v>61</v>
      </c>
      <c r="V92" s="867" t="s">
        <v>6</v>
      </c>
      <c r="W92" s="464">
        <v>22</v>
      </c>
      <c r="X92" s="724">
        <v>19521</v>
      </c>
      <c r="Y92" s="766"/>
      <c r="Z92" s="766"/>
      <c r="AA92" s="972"/>
      <c r="AB92" s="776"/>
      <c r="AC92" s="776"/>
      <c r="AD92" s="776"/>
      <c r="AE92" s="767"/>
      <c r="AF92" s="767"/>
      <c r="AG92" s="767"/>
      <c r="AH92" s="767"/>
      <c r="AI92" s="10"/>
    </row>
    <row r="93" spans="1:35" ht="15">
      <c r="A93" s="10"/>
      <c r="B93" s="965"/>
      <c r="C93" s="966"/>
      <c r="D93" s="967" t="s">
        <v>6</v>
      </c>
      <c r="E93" s="768"/>
      <c r="F93" s="968">
        <v>23</v>
      </c>
      <c r="G93" s="427">
        <f>IF('Terms of Use'!$D$33=0,(X93+(X93*$L$71)),(X93+(X93*$L$71)-550))</f>
        <v>19502</v>
      </c>
      <c r="H93" s="764"/>
      <c r="I93" s="764"/>
      <c r="J93" s="764"/>
      <c r="K93" s="768"/>
      <c r="L93" s="991" t="s">
        <v>109</v>
      </c>
      <c r="M93" s="977"/>
      <c r="N93" s="978"/>
      <c r="O93" s="978"/>
      <c r="P93" s="978"/>
      <c r="Q93" s="768"/>
      <c r="R93" s="939"/>
      <c r="S93" s="777"/>
      <c r="T93" s="970"/>
      <c r="U93" s="971"/>
      <c r="V93" s="867" t="s">
        <v>6</v>
      </c>
      <c r="W93" s="464">
        <v>23</v>
      </c>
      <c r="X93" s="724">
        <v>20052</v>
      </c>
      <c r="Y93" s="766"/>
      <c r="Z93" s="766"/>
      <c r="AA93" s="972"/>
      <c r="AB93" s="776"/>
      <c r="AC93" s="992" t="s">
        <v>110</v>
      </c>
      <c r="AD93" s="980"/>
      <c r="AE93" s="767"/>
      <c r="AF93" s="767"/>
      <c r="AG93" s="767"/>
      <c r="AH93" s="767"/>
      <c r="AI93" s="10"/>
    </row>
    <row r="94" spans="1:35" ht="15">
      <c r="A94" s="10"/>
      <c r="B94" s="965"/>
      <c r="C94" s="966"/>
      <c r="D94" s="967" t="s">
        <v>6</v>
      </c>
      <c r="E94" s="768"/>
      <c r="F94" s="968">
        <v>24</v>
      </c>
      <c r="G94" s="427">
        <f>IF('Terms of Use'!$D$33=0,(X94+(X94*$L$71)),(X94+(X94*$L$71)-550))</f>
        <v>20099</v>
      </c>
      <c r="H94" s="764"/>
      <c r="I94" s="764"/>
      <c r="J94" s="764"/>
      <c r="K94" s="764"/>
      <c r="L94" s="821" t="s">
        <v>62</v>
      </c>
      <c r="M94" s="811"/>
      <c r="N94" s="978"/>
      <c r="O94" s="978"/>
      <c r="P94" s="978"/>
      <c r="Q94" s="768"/>
      <c r="R94" s="939"/>
      <c r="S94" s="777"/>
      <c r="T94" s="970"/>
      <c r="U94" s="971"/>
      <c r="V94" s="867" t="s">
        <v>6</v>
      </c>
      <c r="W94" s="464">
        <v>24</v>
      </c>
      <c r="X94" s="724">
        <v>20649</v>
      </c>
      <c r="Y94" s="766"/>
      <c r="Z94" s="766"/>
      <c r="AA94" s="972"/>
      <c r="AB94" s="776"/>
      <c r="AC94" s="935"/>
      <c r="AD94" s="815"/>
      <c r="AE94" s="767"/>
      <c r="AF94" s="767"/>
      <c r="AG94" s="767"/>
      <c r="AH94" s="767"/>
      <c r="AI94" s="10"/>
    </row>
    <row r="95" spans="1:35" ht="15">
      <c r="A95" s="10"/>
      <c r="B95" s="965"/>
      <c r="C95" s="966"/>
      <c r="D95" s="967" t="s">
        <v>6</v>
      </c>
      <c r="E95" s="768"/>
      <c r="F95" s="968">
        <v>25</v>
      </c>
      <c r="G95" s="427">
        <f>IF('Terms of Use'!$D$33=0,(X95+(X95*$L$71)),(X95+(X95*$L$71)-550))</f>
        <v>20708</v>
      </c>
      <c r="H95" s="764"/>
      <c r="I95" s="764"/>
      <c r="J95" s="764"/>
      <c r="K95" s="764"/>
      <c r="L95" s="981" t="s">
        <v>48</v>
      </c>
      <c r="M95" s="811"/>
      <c r="N95" s="978"/>
      <c r="O95" s="978"/>
      <c r="P95" s="978"/>
      <c r="Q95" s="768"/>
      <c r="R95" s="939"/>
      <c r="S95" s="777"/>
      <c r="T95" s="970"/>
      <c r="U95" s="971"/>
      <c r="V95" s="867" t="s">
        <v>6</v>
      </c>
      <c r="W95" s="464">
        <v>25</v>
      </c>
      <c r="X95" s="724">
        <v>21258</v>
      </c>
      <c r="Y95" s="766"/>
      <c r="Z95" s="766"/>
      <c r="AA95" s="972"/>
      <c r="AB95" s="776"/>
      <c r="AC95" s="982" t="s">
        <v>62</v>
      </c>
      <c r="AD95" s="815"/>
      <c r="AE95" s="767"/>
      <c r="AF95" s="767"/>
      <c r="AG95" s="767"/>
      <c r="AH95" s="767"/>
      <c r="AI95" s="10"/>
    </row>
    <row r="96" spans="1:35" ht="15">
      <c r="A96" s="10"/>
      <c r="B96" s="965"/>
      <c r="C96" s="966" t="s">
        <v>63</v>
      </c>
      <c r="D96" s="967" t="s">
        <v>6</v>
      </c>
      <c r="E96" s="768"/>
      <c r="F96" s="968">
        <v>26</v>
      </c>
      <c r="G96" s="427">
        <f>IF('Terms of Use'!$D$33=0,(X96+(X96*$L$71)),(X96+(X96*$L$71)-550))</f>
        <v>21344</v>
      </c>
      <c r="H96" s="764"/>
      <c r="I96" s="764"/>
      <c r="J96" s="764"/>
      <c r="K96" s="778"/>
      <c r="L96" s="965"/>
      <c r="M96" s="811"/>
      <c r="N96" s="978"/>
      <c r="O96" s="978"/>
      <c r="P96" s="978"/>
      <c r="Q96" s="768"/>
      <c r="R96" s="939"/>
      <c r="S96" s="777"/>
      <c r="T96" s="970"/>
      <c r="U96" s="971" t="s">
        <v>63</v>
      </c>
      <c r="V96" s="867" t="s">
        <v>6</v>
      </c>
      <c r="W96" s="464">
        <v>26</v>
      </c>
      <c r="X96" s="724">
        <v>21894</v>
      </c>
      <c r="Y96" s="766"/>
      <c r="Z96" s="766"/>
      <c r="AA96" s="972"/>
      <c r="AB96" s="776"/>
      <c r="AC96" s="982" t="s">
        <v>48</v>
      </c>
      <c r="AD96" s="815"/>
      <c r="AE96" s="767"/>
      <c r="AF96" s="767"/>
      <c r="AG96" s="767"/>
      <c r="AH96" s="767"/>
      <c r="AI96" s="10"/>
    </row>
    <row r="97" spans="1:35" ht="15">
      <c r="A97" s="10"/>
      <c r="B97" s="965"/>
      <c r="C97" s="966"/>
      <c r="D97" s="967" t="s">
        <v>6</v>
      </c>
      <c r="E97" s="768"/>
      <c r="F97" s="968">
        <v>27</v>
      </c>
      <c r="G97" s="427">
        <f>IF('Terms of Use'!$D$33=0,(X97+(X97*$L$71)),(X97+(X97*$L$71)-550))</f>
        <v>22019</v>
      </c>
      <c r="H97" s="764"/>
      <c r="I97" s="764"/>
      <c r="J97" s="764"/>
      <c r="K97" s="768"/>
      <c r="L97" s="821" t="s">
        <v>49</v>
      </c>
      <c r="M97" s="804">
        <f>($G$70)</f>
        <v>38443</v>
      </c>
      <c r="N97" s="466"/>
      <c r="O97" s="466"/>
      <c r="P97" s="466"/>
      <c r="Q97" s="768"/>
      <c r="R97" s="939"/>
      <c r="S97" s="777"/>
      <c r="T97" s="970"/>
      <c r="U97" s="971"/>
      <c r="V97" s="867" t="s">
        <v>6</v>
      </c>
      <c r="W97" s="464">
        <v>27</v>
      </c>
      <c r="X97" s="724">
        <v>22569</v>
      </c>
      <c r="Y97" s="766"/>
      <c r="Z97" s="766"/>
      <c r="AA97" s="972"/>
      <c r="AB97" s="776"/>
      <c r="AC97" s="935" t="s">
        <v>49</v>
      </c>
      <c r="AD97" s="440">
        <f>$X$70</f>
        <v>38443</v>
      </c>
      <c r="AE97" s="767"/>
      <c r="AF97" s="767"/>
      <c r="AG97" s="767"/>
      <c r="AH97" s="767"/>
      <c r="AI97" s="10"/>
    </row>
    <row r="98" spans="1:35" ht="15">
      <c r="A98" s="10"/>
      <c r="B98" s="965"/>
      <c r="C98" s="966"/>
      <c r="D98" s="967" t="s">
        <v>6</v>
      </c>
      <c r="E98" s="768"/>
      <c r="F98" s="968">
        <v>28</v>
      </c>
      <c r="G98" s="427">
        <f>IF('Terms of Use'!$D$33=0,(X98+(X98*$L$71)),(X98+(X98*$L$71)-550))</f>
        <v>22700</v>
      </c>
      <c r="H98" s="764"/>
      <c r="I98" s="764"/>
      <c r="J98" s="764"/>
      <c r="K98" s="768"/>
      <c r="L98" s="965"/>
      <c r="M98" s="734">
        <v>2088</v>
      </c>
      <c r="N98" s="983"/>
      <c r="O98" s="983"/>
      <c r="P98" s="983"/>
      <c r="Q98" s="768"/>
      <c r="R98" s="939"/>
      <c r="S98" s="777"/>
      <c r="T98" s="970"/>
      <c r="U98" s="971"/>
      <c r="V98" s="867" t="s">
        <v>6</v>
      </c>
      <c r="W98" s="464">
        <v>28</v>
      </c>
      <c r="X98" s="724">
        <v>23250</v>
      </c>
      <c r="Y98" s="766"/>
      <c r="Z98" s="766"/>
      <c r="AA98" s="972"/>
      <c r="AB98" s="776"/>
      <c r="AC98" s="809"/>
      <c r="AD98" s="984"/>
      <c r="AE98" s="767"/>
      <c r="AF98" s="767"/>
      <c r="AG98" s="767"/>
      <c r="AH98" s="767"/>
      <c r="AI98" s="10"/>
    </row>
    <row r="99" spans="1:35" ht="15.75" thickBot="1">
      <c r="A99" s="10"/>
      <c r="B99" s="965"/>
      <c r="C99" s="966" t="s">
        <v>64</v>
      </c>
      <c r="D99" s="967" t="s">
        <v>6</v>
      </c>
      <c r="E99" s="768"/>
      <c r="F99" s="968">
        <v>29</v>
      </c>
      <c r="G99" s="427">
        <f>IF('Terms of Use'!$D$33=0,(X99+(X99*$L$71)),(X99+(X99*$L$71)-550))</f>
        <v>23564</v>
      </c>
      <c r="H99" s="764"/>
      <c r="I99" s="764"/>
      <c r="J99" s="764"/>
      <c r="K99" s="768"/>
      <c r="L99" s="893"/>
      <c r="M99" s="993" t="s">
        <v>208</v>
      </c>
      <c r="N99" s="983"/>
      <c r="O99" s="983"/>
      <c r="P99" s="983"/>
      <c r="Q99" s="768"/>
      <c r="R99" s="939"/>
      <c r="S99" s="777"/>
      <c r="T99" s="970"/>
      <c r="U99" s="971" t="s">
        <v>64</v>
      </c>
      <c r="V99" s="867" t="s">
        <v>6</v>
      </c>
      <c r="W99" s="464">
        <v>29</v>
      </c>
      <c r="X99" s="724">
        <v>24114</v>
      </c>
      <c r="Y99" s="766"/>
      <c r="Z99" s="766"/>
      <c r="AA99" s="972"/>
      <c r="AB99" s="776"/>
      <c r="AC99" s="985"/>
      <c r="AD99" s="984"/>
      <c r="AE99" s="767"/>
      <c r="AF99" s="767"/>
      <c r="AG99" s="767"/>
      <c r="AH99" s="767"/>
      <c r="AI99" s="10"/>
    </row>
    <row r="100" spans="1:35" ht="19.5" thickBot="1" thickTop="1">
      <c r="A100" s="10"/>
      <c r="B100" s="965"/>
      <c r="C100" s="966"/>
      <c r="D100" s="967" t="s">
        <v>6</v>
      </c>
      <c r="E100" s="768"/>
      <c r="F100" s="968">
        <v>30</v>
      </c>
      <c r="G100" s="427">
        <f>IF('Terms of Use'!$D$33=0,(X100+(X100*$L$71)),(X100+(X100*$L$71)-550))</f>
        <v>24317</v>
      </c>
      <c r="H100" s="764"/>
      <c r="I100" s="764"/>
      <c r="J100" s="764"/>
      <c r="K100" s="768"/>
      <c r="L100" s="893"/>
      <c r="M100" s="430">
        <f>(AD100+(AD100*$L$71))</f>
        <v>0</v>
      </c>
      <c r="N100" s="469"/>
      <c r="O100" s="469"/>
      <c r="P100" s="469"/>
      <c r="Q100" s="768"/>
      <c r="R100" s="939"/>
      <c r="S100" s="777"/>
      <c r="T100" s="970"/>
      <c r="U100" s="971"/>
      <c r="V100" s="867" t="s">
        <v>6</v>
      </c>
      <c r="W100" s="464">
        <v>30</v>
      </c>
      <c r="X100" s="724">
        <v>24867</v>
      </c>
      <c r="Y100" s="766"/>
      <c r="Z100" s="766"/>
      <c r="AA100" s="941"/>
      <c r="AB100" s="994" t="s">
        <v>210</v>
      </c>
      <c r="AC100" s="985"/>
      <c r="AD100" s="986">
        <v>0</v>
      </c>
      <c r="AE100" s="767"/>
      <c r="AF100" s="767"/>
      <c r="AG100" s="767"/>
      <c r="AH100" s="767"/>
      <c r="AI100" s="10"/>
    </row>
    <row r="101" spans="1:35" ht="16.5" thickTop="1">
      <c r="A101" s="10"/>
      <c r="B101" s="965"/>
      <c r="C101" s="966"/>
      <c r="D101" s="967" t="s">
        <v>6</v>
      </c>
      <c r="E101" s="768"/>
      <c r="F101" s="968">
        <v>31</v>
      </c>
      <c r="G101" s="427">
        <f>IF('Terms of Use'!$D$33=0,(X101+(X101*$L$71)),(X101+(X101*$L$71)-550))</f>
        <v>25052</v>
      </c>
      <c r="H101" s="764"/>
      <c r="I101" s="764"/>
      <c r="J101" s="764"/>
      <c r="K101" s="768"/>
      <c r="L101" s="987"/>
      <c r="M101" s="988"/>
      <c r="N101" s="978"/>
      <c r="O101" s="978"/>
      <c r="P101" s="978"/>
      <c r="Q101" s="768"/>
      <c r="R101" s="939"/>
      <c r="S101" s="777"/>
      <c r="T101" s="970"/>
      <c r="U101" s="971"/>
      <c r="V101" s="867" t="s">
        <v>6</v>
      </c>
      <c r="W101" s="464">
        <v>31</v>
      </c>
      <c r="X101" s="724">
        <v>25602</v>
      </c>
      <c r="Y101" s="766"/>
      <c r="Z101" s="766"/>
      <c r="AA101" s="941"/>
      <c r="AB101" s="994" t="s">
        <v>211</v>
      </c>
      <c r="AC101" s="989"/>
      <c r="AD101" s="830"/>
      <c r="AE101" s="767"/>
      <c r="AF101" s="767"/>
      <c r="AG101" s="767"/>
      <c r="AH101" s="767"/>
      <c r="AI101" s="10"/>
    </row>
    <row r="102" spans="1:35" ht="15">
      <c r="A102" s="10"/>
      <c r="B102" s="965"/>
      <c r="C102" s="966" t="s">
        <v>65</v>
      </c>
      <c r="D102" s="967" t="s">
        <v>6</v>
      </c>
      <c r="E102" s="768"/>
      <c r="F102" s="968">
        <v>32</v>
      </c>
      <c r="G102" s="427">
        <f>IF('Terms of Use'!$D$33=0,(X102+(X102*$L$71)),(X102+(X102*$L$71)-550))</f>
        <v>25757</v>
      </c>
      <c r="H102" s="764"/>
      <c r="I102" s="764"/>
      <c r="J102" s="764"/>
      <c r="K102" s="768"/>
      <c r="L102" s="768"/>
      <c r="M102" s="768"/>
      <c r="N102" s="768"/>
      <c r="O102" s="768"/>
      <c r="P102" s="768"/>
      <c r="Q102" s="768"/>
      <c r="R102" s="939"/>
      <c r="S102" s="777"/>
      <c r="T102" s="970"/>
      <c r="U102" s="971" t="s">
        <v>65</v>
      </c>
      <c r="V102" s="867" t="s">
        <v>6</v>
      </c>
      <c r="W102" s="464">
        <v>32</v>
      </c>
      <c r="X102" s="724">
        <v>26307</v>
      </c>
      <c r="Y102" s="766"/>
      <c r="Z102" s="766"/>
      <c r="AA102" s="972"/>
      <c r="AB102" s="776"/>
      <c r="AC102" s="776"/>
      <c r="AD102" s="776"/>
      <c r="AE102" s="767"/>
      <c r="AF102" s="767"/>
      <c r="AG102" s="767"/>
      <c r="AH102" s="767"/>
      <c r="AI102" s="10"/>
    </row>
    <row r="103" spans="1:35" ht="15">
      <c r="A103" s="10"/>
      <c r="B103" s="965"/>
      <c r="C103" s="966"/>
      <c r="D103" s="967" t="s">
        <v>6</v>
      </c>
      <c r="E103" s="768"/>
      <c r="F103" s="968">
        <v>33</v>
      </c>
      <c r="G103" s="427">
        <f>IF('Terms of Use'!$D$33=0,(X103+(X103*$L$71)),(X103+(X103*$L$71)-550))</f>
        <v>26486</v>
      </c>
      <c r="H103" s="764"/>
      <c r="I103" s="764"/>
      <c r="J103" s="764"/>
      <c r="K103" s="768"/>
      <c r="L103" s="768"/>
      <c r="M103" s="768"/>
      <c r="N103" s="768"/>
      <c r="O103" s="768"/>
      <c r="P103" s="768"/>
      <c r="Q103" s="768"/>
      <c r="R103" s="939"/>
      <c r="S103" s="777"/>
      <c r="T103" s="970"/>
      <c r="U103" s="971"/>
      <c r="V103" s="867" t="s">
        <v>6</v>
      </c>
      <c r="W103" s="464">
        <v>33</v>
      </c>
      <c r="X103" s="724">
        <v>27036</v>
      </c>
      <c r="Y103" s="766"/>
      <c r="Z103" s="766"/>
      <c r="AA103" s="972"/>
      <c r="AB103" s="776"/>
      <c r="AC103" s="776"/>
      <c r="AD103" s="776"/>
      <c r="AE103" s="767"/>
      <c r="AF103" s="767"/>
      <c r="AG103" s="767"/>
      <c r="AH103" s="767"/>
      <c r="AI103" s="10"/>
    </row>
    <row r="104" spans="1:35" ht="15">
      <c r="A104" s="10"/>
      <c r="B104" s="965"/>
      <c r="C104" s="966"/>
      <c r="D104" s="967" t="s">
        <v>6</v>
      </c>
      <c r="E104" s="768"/>
      <c r="F104" s="968">
        <v>34</v>
      </c>
      <c r="G104" s="427">
        <f>IF('Terms of Use'!$D$33=0,(X104+(X104*$L$71)),(X104+(X104*$L$71)-550))</f>
        <v>27209</v>
      </c>
      <c r="H104" s="764"/>
      <c r="I104" s="764"/>
      <c r="J104" s="764"/>
      <c r="K104" s="764"/>
      <c r="L104" s="991" t="s">
        <v>319</v>
      </c>
      <c r="M104" s="977"/>
      <c r="N104" s="978"/>
      <c r="O104" s="978"/>
      <c r="P104" s="978"/>
      <c r="Q104" s="768"/>
      <c r="R104" s="939"/>
      <c r="S104" s="777"/>
      <c r="T104" s="970"/>
      <c r="U104" s="971"/>
      <c r="V104" s="867" t="s">
        <v>6</v>
      </c>
      <c r="W104" s="464">
        <v>34</v>
      </c>
      <c r="X104" s="724">
        <v>27759</v>
      </c>
      <c r="Y104" s="766"/>
      <c r="Z104" s="766"/>
      <c r="AA104" s="972"/>
      <c r="AB104" s="995" t="s">
        <v>319</v>
      </c>
      <c r="AC104" s="996"/>
      <c r="AD104" s="997"/>
      <c r="AE104" s="767"/>
      <c r="AF104" s="767"/>
      <c r="AG104" s="767"/>
      <c r="AH104" s="767"/>
      <c r="AI104" s="10"/>
    </row>
    <row r="105" spans="1:35" ht="15">
      <c r="A105" s="10"/>
      <c r="B105" s="965"/>
      <c r="C105" s="966"/>
      <c r="D105" s="967" t="s">
        <v>6</v>
      </c>
      <c r="E105" s="768"/>
      <c r="F105" s="968">
        <v>35</v>
      </c>
      <c r="G105" s="427">
        <f>IF('Terms of Use'!$D$33=0,(X105+(X105*$L$71)),(X105+(X105*$L$71)-550))</f>
        <v>27755</v>
      </c>
      <c r="H105" s="764"/>
      <c r="I105" s="764"/>
      <c r="J105" s="764"/>
      <c r="K105" s="764"/>
      <c r="L105" s="821" t="s">
        <v>320</v>
      </c>
      <c r="M105" s="811"/>
      <c r="N105" s="978"/>
      <c r="O105" s="978"/>
      <c r="P105" s="978"/>
      <c r="Q105" s="768"/>
      <c r="R105" s="939"/>
      <c r="S105" s="777"/>
      <c r="T105" s="970"/>
      <c r="U105" s="971"/>
      <c r="V105" s="867" t="s">
        <v>6</v>
      </c>
      <c r="W105" s="464">
        <v>35</v>
      </c>
      <c r="X105" s="724">
        <v>28305</v>
      </c>
      <c r="Y105" s="766"/>
      <c r="Z105" s="766"/>
      <c r="AA105" s="972"/>
      <c r="AB105" s="865" t="s">
        <v>320</v>
      </c>
      <c r="AC105" s="998"/>
      <c r="AD105" s="828"/>
      <c r="AE105" s="767"/>
      <c r="AF105" s="767"/>
      <c r="AG105" s="767"/>
      <c r="AH105" s="767"/>
      <c r="AI105" s="10"/>
    </row>
    <row r="106" spans="1:35" ht="15">
      <c r="A106" s="10"/>
      <c r="B106" s="965"/>
      <c r="C106" s="966"/>
      <c r="D106" s="967" t="s">
        <v>6</v>
      </c>
      <c r="E106" s="768"/>
      <c r="F106" s="968">
        <v>36</v>
      </c>
      <c r="G106" s="427">
        <f>IF('Terms of Use'!$D$33=0,(X106+(X106*$L$71)),(X106+(X106*$L$71)-550))</f>
        <v>28460</v>
      </c>
      <c r="H106" s="764"/>
      <c r="I106" s="764"/>
      <c r="J106" s="764"/>
      <c r="K106" s="764"/>
      <c r="L106" s="981" t="s">
        <v>321</v>
      </c>
      <c r="M106" s="811"/>
      <c r="N106" s="978"/>
      <c r="O106" s="978"/>
      <c r="P106" s="978"/>
      <c r="Q106" s="768"/>
      <c r="R106" s="939"/>
      <c r="S106" s="777"/>
      <c r="T106" s="970"/>
      <c r="U106" s="971"/>
      <c r="V106" s="867" t="s">
        <v>6</v>
      </c>
      <c r="W106" s="464">
        <v>36</v>
      </c>
      <c r="X106" s="724">
        <v>29010</v>
      </c>
      <c r="Y106" s="766"/>
      <c r="Z106" s="766"/>
      <c r="AA106" s="972"/>
      <c r="AB106" s="999" t="s">
        <v>321</v>
      </c>
      <c r="AC106" s="1000"/>
      <c r="AD106" s="828"/>
      <c r="AE106" s="767"/>
      <c r="AF106" s="767"/>
      <c r="AG106" s="767"/>
      <c r="AH106" s="767"/>
      <c r="AI106" s="10"/>
    </row>
    <row r="107" spans="1:35" ht="15">
      <c r="A107" s="10"/>
      <c r="B107" s="965"/>
      <c r="C107" s="966"/>
      <c r="D107" s="967" t="s">
        <v>6</v>
      </c>
      <c r="E107" s="768"/>
      <c r="F107" s="968">
        <v>37</v>
      </c>
      <c r="G107" s="427">
        <f>IF('Terms of Use'!$D$33=0,(X107+(X107*$L$71)),(X107+(X107*$L$71)-550))</f>
        <v>29231</v>
      </c>
      <c r="H107" s="764"/>
      <c r="I107" s="764"/>
      <c r="J107" s="764"/>
      <c r="K107" s="764"/>
      <c r="L107" s="965"/>
      <c r="M107" s="811"/>
      <c r="N107" s="978"/>
      <c r="O107" s="978"/>
      <c r="P107" s="978"/>
      <c r="Q107" s="768"/>
      <c r="R107" s="939"/>
      <c r="S107" s="777"/>
      <c r="T107" s="970"/>
      <c r="U107" s="971"/>
      <c r="V107" s="867" t="s">
        <v>6</v>
      </c>
      <c r="W107" s="464">
        <v>37</v>
      </c>
      <c r="X107" s="724">
        <v>29781</v>
      </c>
      <c r="Y107" s="766"/>
      <c r="Z107" s="766"/>
      <c r="AA107" s="972"/>
      <c r="AB107" s="970"/>
      <c r="AC107" s="906"/>
      <c r="AD107" s="828"/>
      <c r="AE107" s="767"/>
      <c r="AF107" s="767"/>
      <c r="AG107" s="767"/>
      <c r="AH107" s="767"/>
      <c r="AI107" s="10"/>
    </row>
    <row r="108" spans="1:35" ht="15">
      <c r="A108" s="10"/>
      <c r="B108" s="965"/>
      <c r="C108" s="966"/>
      <c r="D108" s="967" t="s">
        <v>6</v>
      </c>
      <c r="E108" s="768"/>
      <c r="F108" s="968">
        <v>38</v>
      </c>
      <c r="G108" s="427">
        <f>IF('Terms of Use'!$D$33=0,(X108+(X108*$L$71)),(X108+(X108*$L$71)-550))</f>
        <v>30056</v>
      </c>
      <c r="H108" s="764"/>
      <c r="I108" s="764"/>
      <c r="J108" s="764"/>
      <c r="K108" s="764"/>
      <c r="L108" s="821"/>
      <c r="M108" s="804"/>
      <c r="N108" s="466"/>
      <c r="O108" s="466"/>
      <c r="P108" s="466"/>
      <c r="Q108" s="768"/>
      <c r="R108" s="939"/>
      <c r="S108" s="777"/>
      <c r="T108" s="970"/>
      <c r="U108" s="971"/>
      <c r="V108" s="867" t="s">
        <v>6</v>
      </c>
      <c r="W108" s="464">
        <v>38</v>
      </c>
      <c r="X108" s="724">
        <v>30606</v>
      </c>
      <c r="Y108" s="766"/>
      <c r="Z108" s="766"/>
      <c r="AA108" s="972"/>
      <c r="AB108" s="865"/>
      <c r="AC108" s="998"/>
      <c r="AD108" s="440"/>
      <c r="AE108" s="767"/>
      <c r="AF108" s="767"/>
      <c r="AG108" s="767"/>
      <c r="AH108" s="767"/>
      <c r="AI108" s="10"/>
    </row>
    <row r="109" spans="1:35" ht="15">
      <c r="A109" s="10"/>
      <c r="B109" s="965"/>
      <c r="C109" s="966"/>
      <c r="D109" s="967" t="s">
        <v>6</v>
      </c>
      <c r="E109" s="768"/>
      <c r="F109" s="968">
        <v>39</v>
      </c>
      <c r="G109" s="427">
        <f>IF('Terms of Use'!$D$33=0,(X109+(X109*$L$71)),(X109+(X109*$L$71)-550))</f>
        <v>31001</v>
      </c>
      <c r="H109" s="764"/>
      <c r="I109" s="764"/>
      <c r="J109" s="764"/>
      <c r="K109" s="764"/>
      <c r="L109" s="821" t="s">
        <v>49</v>
      </c>
      <c r="M109" s="804">
        <f>($G$70)</f>
        <v>38443</v>
      </c>
      <c r="N109" s="466"/>
      <c r="O109" s="466"/>
      <c r="P109" s="466"/>
      <c r="Q109" s="768"/>
      <c r="R109" s="939"/>
      <c r="S109" s="777"/>
      <c r="T109" s="970"/>
      <c r="U109" s="971"/>
      <c r="V109" s="867" t="s">
        <v>6</v>
      </c>
      <c r="W109" s="464">
        <v>39</v>
      </c>
      <c r="X109" s="724">
        <v>31551</v>
      </c>
      <c r="Y109" s="766"/>
      <c r="Z109" s="766"/>
      <c r="AA109" s="972"/>
      <c r="AB109" s="865"/>
      <c r="AC109" s="998" t="s">
        <v>49</v>
      </c>
      <c r="AD109" s="440">
        <f>$X$70</f>
        <v>38443</v>
      </c>
      <c r="AE109" s="767"/>
      <c r="AF109" s="767"/>
      <c r="AG109" s="767"/>
      <c r="AH109" s="767"/>
      <c r="AI109" s="10"/>
    </row>
    <row r="110" spans="1:35" ht="15.75" thickBot="1">
      <c r="A110" s="10"/>
      <c r="B110" s="965"/>
      <c r="C110" s="966"/>
      <c r="D110" s="967" t="s">
        <v>6</v>
      </c>
      <c r="E110" s="768"/>
      <c r="F110" s="968">
        <v>40</v>
      </c>
      <c r="G110" s="427">
        <f>IF('Terms of Use'!$D$33=0,(X110+(X110*$L$71)),(X110+(X110*$L$71)-550))</f>
        <v>31799</v>
      </c>
      <c r="H110" s="764"/>
      <c r="I110" s="764"/>
      <c r="J110" s="764"/>
      <c r="K110" s="764"/>
      <c r="L110" s="893"/>
      <c r="M110" s="871"/>
      <c r="N110" s="983"/>
      <c r="O110" s="983"/>
      <c r="P110" s="983"/>
      <c r="Q110" s="768"/>
      <c r="R110" s="939"/>
      <c r="S110" s="777"/>
      <c r="T110" s="970"/>
      <c r="U110" s="971"/>
      <c r="V110" s="867" t="s">
        <v>6</v>
      </c>
      <c r="W110" s="464">
        <v>40</v>
      </c>
      <c r="X110" s="724">
        <v>32349</v>
      </c>
      <c r="Y110" s="766"/>
      <c r="Z110" s="766"/>
      <c r="AA110" s="1001"/>
      <c r="AB110" s="895"/>
      <c r="AC110" s="972"/>
      <c r="AD110" s="1001"/>
      <c r="AE110" s="767"/>
      <c r="AF110" s="767"/>
      <c r="AG110" s="767"/>
      <c r="AH110" s="767"/>
      <c r="AI110" s="10"/>
    </row>
    <row r="111" spans="1:35" ht="19.5" thickBot="1" thickTop="1">
      <c r="A111" s="10"/>
      <c r="B111" s="965"/>
      <c r="C111" s="966"/>
      <c r="D111" s="967" t="s">
        <v>6</v>
      </c>
      <c r="E111" s="768"/>
      <c r="F111" s="968">
        <v>41</v>
      </c>
      <c r="G111" s="427">
        <f>IF('Terms of Use'!$D$33=0,(X111+(X111*$L$71)),(X111+(X111*$L$71)-550))</f>
        <v>32609</v>
      </c>
      <c r="H111" s="764"/>
      <c r="I111" s="764"/>
      <c r="J111" s="764"/>
      <c r="K111" s="764"/>
      <c r="L111" s="893"/>
      <c r="M111" s="628">
        <f>(AD111)</f>
        <v>107.8</v>
      </c>
      <c r="N111" s="469"/>
      <c r="O111" s="469"/>
      <c r="P111" s="469"/>
      <c r="Q111" s="768"/>
      <c r="R111" s="939"/>
      <c r="S111" s="777"/>
      <c r="T111" s="970"/>
      <c r="U111" s="971"/>
      <c r="V111" s="867" t="s">
        <v>6</v>
      </c>
      <c r="W111" s="464">
        <v>41</v>
      </c>
      <c r="X111" s="724">
        <v>33159</v>
      </c>
      <c r="Y111" s="766"/>
      <c r="Z111" s="766"/>
      <c r="AA111" s="1002"/>
      <c r="AB111" s="1003"/>
      <c r="AC111" s="972"/>
      <c r="AD111" s="733">
        <v>107.8</v>
      </c>
      <c r="AE111" s="767"/>
      <c r="AF111" s="767"/>
      <c r="AG111" s="767"/>
      <c r="AH111" s="767"/>
      <c r="AI111" s="10"/>
    </row>
    <row r="112" spans="1:35" ht="15.75" thickTop="1">
      <c r="A112" s="10"/>
      <c r="B112" s="965"/>
      <c r="C112" s="966"/>
      <c r="D112" s="967" t="s">
        <v>6</v>
      </c>
      <c r="E112" s="768"/>
      <c r="F112" s="968">
        <v>42</v>
      </c>
      <c r="G112" s="427">
        <f>IF('Terms of Use'!$D$33=0,(X112+(X112*$L$71)),(X112+(X112*$L$71)-550))</f>
        <v>33410</v>
      </c>
      <c r="H112" s="764"/>
      <c r="I112" s="764"/>
      <c r="J112" s="764"/>
      <c r="K112" s="764"/>
      <c r="L112" s="987"/>
      <c r="M112" s="988"/>
      <c r="N112" s="978"/>
      <c r="O112" s="978"/>
      <c r="P112" s="978"/>
      <c r="Q112" s="768"/>
      <c r="R112" s="939"/>
      <c r="S112" s="777"/>
      <c r="T112" s="970"/>
      <c r="U112" s="971"/>
      <c r="V112" s="867" t="s">
        <v>6</v>
      </c>
      <c r="W112" s="464">
        <v>42</v>
      </c>
      <c r="X112" s="724">
        <v>33960</v>
      </c>
      <c r="Y112" s="766"/>
      <c r="Z112" s="766"/>
      <c r="AA112" s="972"/>
      <c r="AB112" s="1004"/>
      <c r="AC112" s="891"/>
      <c r="AD112" s="1005"/>
      <c r="AE112" s="767"/>
      <c r="AF112" s="767"/>
      <c r="AG112" s="767"/>
      <c r="AH112" s="767"/>
      <c r="AI112" s="10"/>
    </row>
    <row r="113" spans="1:35" ht="15">
      <c r="A113" s="10"/>
      <c r="B113" s="965"/>
      <c r="C113" s="966"/>
      <c r="D113" s="967" t="s">
        <v>6</v>
      </c>
      <c r="E113" s="768"/>
      <c r="F113" s="968">
        <v>43</v>
      </c>
      <c r="G113" s="427">
        <f>IF('Terms of Use'!$D$33=0,(X113+(X113*$L$71)),(X113+(X113*$L$71)-550))</f>
        <v>34223</v>
      </c>
      <c r="H113" s="764"/>
      <c r="I113" s="764"/>
      <c r="J113" s="764"/>
      <c r="K113" s="764"/>
      <c r="L113" s="768"/>
      <c r="M113" s="768"/>
      <c r="N113" s="768"/>
      <c r="O113" s="768"/>
      <c r="P113" s="768"/>
      <c r="Q113" s="768"/>
      <c r="R113" s="939"/>
      <c r="S113" s="777"/>
      <c r="T113" s="970"/>
      <c r="U113" s="971"/>
      <c r="V113" s="867" t="s">
        <v>6</v>
      </c>
      <c r="W113" s="464">
        <v>43</v>
      </c>
      <c r="X113" s="724">
        <v>34773</v>
      </c>
      <c r="Y113" s="766"/>
      <c r="Z113" s="766"/>
      <c r="AA113" s="972"/>
      <c r="AB113" s="776"/>
      <c r="AC113" s="776"/>
      <c r="AD113" s="776"/>
      <c r="AE113" s="767"/>
      <c r="AF113" s="767"/>
      <c r="AG113" s="767"/>
      <c r="AH113" s="767"/>
      <c r="AI113" s="10"/>
    </row>
    <row r="114" spans="1:35" ht="15">
      <c r="A114" s="10"/>
      <c r="B114" s="965"/>
      <c r="C114" s="966"/>
      <c r="D114" s="967" t="s">
        <v>6</v>
      </c>
      <c r="E114" s="768"/>
      <c r="F114" s="968">
        <v>44</v>
      </c>
      <c r="G114" s="427">
        <f>IF('Terms of Use'!$D$33=0,(X114+(X114*$L$71)),(X114+(X114*$L$71)-550))</f>
        <v>35036</v>
      </c>
      <c r="H114" s="764"/>
      <c r="I114" s="764"/>
      <c r="J114" s="764"/>
      <c r="K114" s="764"/>
      <c r="L114" s="768"/>
      <c r="M114" s="768"/>
      <c r="N114" s="768"/>
      <c r="O114" s="768"/>
      <c r="P114" s="768"/>
      <c r="Q114" s="768"/>
      <c r="R114" s="939"/>
      <c r="S114" s="777"/>
      <c r="T114" s="970"/>
      <c r="U114" s="971"/>
      <c r="V114" s="867" t="s">
        <v>6</v>
      </c>
      <c r="W114" s="464">
        <v>44</v>
      </c>
      <c r="X114" s="724">
        <v>35586</v>
      </c>
      <c r="Y114" s="766"/>
      <c r="Z114" s="766"/>
      <c r="AA114" s="972"/>
      <c r="AB114" s="776"/>
      <c r="AC114" s="776"/>
      <c r="AD114" s="776"/>
      <c r="AE114" s="767"/>
      <c r="AF114" s="767"/>
      <c r="AG114" s="767"/>
      <c r="AH114" s="767"/>
      <c r="AI114" s="10"/>
    </row>
    <row r="115" spans="1:35" ht="15">
      <c r="A115" s="10"/>
      <c r="B115" s="965"/>
      <c r="C115" s="966"/>
      <c r="D115" s="967" t="s">
        <v>6</v>
      </c>
      <c r="E115" s="768"/>
      <c r="F115" s="968">
        <v>45</v>
      </c>
      <c r="G115" s="427">
        <f>IF('Terms of Use'!$D$33=0,(X115+(X115*$L$71)),(X115+(X115*$L$71)-550))</f>
        <v>35795</v>
      </c>
      <c r="H115" s="764"/>
      <c r="I115" s="764"/>
      <c r="J115" s="764"/>
      <c r="K115" s="764"/>
      <c r="L115" s="768"/>
      <c r="M115" s="768"/>
      <c r="N115" s="768"/>
      <c r="O115" s="768"/>
      <c r="P115" s="768"/>
      <c r="Q115" s="768"/>
      <c r="R115" s="939"/>
      <c r="S115" s="777"/>
      <c r="T115" s="970"/>
      <c r="U115" s="971"/>
      <c r="V115" s="867" t="s">
        <v>6</v>
      </c>
      <c r="W115" s="464">
        <v>45</v>
      </c>
      <c r="X115" s="724">
        <v>36345</v>
      </c>
      <c r="Y115" s="766"/>
      <c r="Z115" s="766"/>
      <c r="AA115" s="972"/>
      <c r="AB115" s="776"/>
      <c r="AC115" s="776"/>
      <c r="AD115" s="776"/>
      <c r="AE115" s="767"/>
      <c r="AF115" s="767"/>
      <c r="AG115" s="767"/>
      <c r="AH115" s="767"/>
      <c r="AI115" s="10"/>
    </row>
    <row r="116" spans="1:35" ht="15">
      <c r="A116" s="10"/>
      <c r="B116" s="965"/>
      <c r="C116" s="966"/>
      <c r="D116" s="967" t="s">
        <v>6</v>
      </c>
      <c r="E116" s="768"/>
      <c r="F116" s="968">
        <v>46</v>
      </c>
      <c r="G116" s="427">
        <f>IF('Terms of Use'!$D$33=0,(X116+(X116*$L$71)),(X116+(X116*$L$71)-550))</f>
        <v>36638</v>
      </c>
      <c r="H116" s="764"/>
      <c r="I116" s="764"/>
      <c r="J116" s="764"/>
      <c r="K116" s="764"/>
      <c r="L116" s="768"/>
      <c r="M116" s="768"/>
      <c r="N116" s="768"/>
      <c r="O116" s="768"/>
      <c r="P116" s="768"/>
      <c r="Q116" s="768"/>
      <c r="R116" s="939"/>
      <c r="S116" s="777"/>
      <c r="T116" s="970"/>
      <c r="U116" s="971"/>
      <c r="V116" s="867" t="s">
        <v>6</v>
      </c>
      <c r="W116" s="464">
        <v>46</v>
      </c>
      <c r="X116" s="724">
        <v>37188</v>
      </c>
      <c r="Y116" s="766"/>
      <c r="Z116" s="766"/>
      <c r="AA116" s="972"/>
      <c r="AB116" s="776"/>
      <c r="AC116" s="776"/>
      <c r="AD116" s="776"/>
      <c r="AE116" s="767"/>
      <c r="AF116" s="767"/>
      <c r="AG116" s="767"/>
      <c r="AH116" s="767"/>
      <c r="AI116" s="10"/>
    </row>
    <row r="117" spans="1:35" ht="15">
      <c r="A117" s="10"/>
      <c r="B117" s="965"/>
      <c r="C117" s="966"/>
      <c r="D117" s="967" t="s">
        <v>6</v>
      </c>
      <c r="E117" s="768"/>
      <c r="F117" s="968">
        <v>47</v>
      </c>
      <c r="G117" s="427">
        <f>IF('Terms of Use'!$D$33=0,(X117+(X117*$L$71)),(X117+(X117*$L$71)-550))</f>
        <v>37454</v>
      </c>
      <c r="H117" s="764"/>
      <c r="I117" s="764"/>
      <c r="J117" s="764"/>
      <c r="K117" s="764"/>
      <c r="L117" s="768"/>
      <c r="M117" s="768"/>
      <c r="N117" s="768"/>
      <c r="O117" s="768"/>
      <c r="P117" s="768"/>
      <c r="Q117" s="768"/>
      <c r="R117" s="939"/>
      <c r="S117" s="777"/>
      <c r="T117" s="970"/>
      <c r="U117" s="971"/>
      <c r="V117" s="867" t="s">
        <v>6</v>
      </c>
      <c r="W117" s="464">
        <v>47</v>
      </c>
      <c r="X117" s="724">
        <v>38004</v>
      </c>
      <c r="Y117" s="766"/>
      <c r="Z117" s="766"/>
      <c r="AA117" s="972"/>
      <c r="AB117" s="776"/>
      <c r="AC117" s="776"/>
      <c r="AD117" s="776"/>
      <c r="AE117" s="767"/>
      <c r="AF117" s="767"/>
      <c r="AG117" s="767"/>
      <c r="AH117" s="767"/>
      <c r="AI117" s="10"/>
    </row>
    <row r="118" spans="1:35" ht="15">
      <c r="A118" s="10"/>
      <c r="B118" s="965"/>
      <c r="C118" s="966"/>
      <c r="D118" s="967" t="s">
        <v>6</v>
      </c>
      <c r="E118" s="768"/>
      <c r="F118" s="968">
        <v>48</v>
      </c>
      <c r="G118" s="427">
        <f>IF('Terms of Use'!$D$33=0,(X118+(X118*$L$71)),(X118+(X118*$L$71)-550))</f>
        <v>38267</v>
      </c>
      <c r="H118" s="764"/>
      <c r="I118" s="764"/>
      <c r="J118" s="764"/>
      <c r="K118" s="764"/>
      <c r="L118" s="768"/>
      <c r="M118" s="768"/>
      <c r="N118" s="768"/>
      <c r="O118" s="768"/>
      <c r="P118" s="768"/>
      <c r="Q118" s="768"/>
      <c r="R118" s="939"/>
      <c r="S118" s="777"/>
      <c r="T118" s="970"/>
      <c r="U118" s="971"/>
      <c r="V118" s="867" t="s">
        <v>6</v>
      </c>
      <c r="W118" s="464">
        <v>48</v>
      </c>
      <c r="X118" s="724">
        <v>38817</v>
      </c>
      <c r="Y118" s="766"/>
      <c r="Z118" s="766"/>
      <c r="AA118" s="972"/>
      <c r="AB118" s="776"/>
      <c r="AC118" s="776"/>
      <c r="AD118" s="776"/>
      <c r="AE118" s="767"/>
      <c r="AF118" s="767"/>
      <c r="AG118" s="767"/>
      <c r="AH118" s="767"/>
      <c r="AI118" s="10"/>
    </row>
    <row r="119" spans="1:35" ht="15">
      <c r="A119" s="10"/>
      <c r="B119" s="965"/>
      <c r="C119" s="966"/>
      <c r="D119" s="967" t="s">
        <v>6</v>
      </c>
      <c r="E119" s="768"/>
      <c r="F119" s="968">
        <v>49</v>
      </c>
      <c r="G119" s="427">
        <f>IF('Terms of Use'!$D$33=0,(X119+(X119*$L$71)),(X119+(X119*$L$71)-550))</f>
        <v>39062</v>
      </c>
      <c r="H119" s="764"/>
      <c r="I119" s="764"/>
      <c r="J119" s="764"/>
      <c r="K119" s="764"/>
      <c r="L119" s="768"/>
      <c r="M119" s="768"/>
      <c r="N119" s="768"/>
      <c r="O119" s="768"/>
      <c r="P119" s="768"/>
      <c r="Q119" s="768"/>
      <c r="R119" s="939"/>
      <c r="S119" s="777"/>
      <c r="T119" s="970"/>
      <c r="U119" s="971"/>
      <c r="V119" s="867" t="s">
        <v>6</v>
      </c>
      <c r="W119" s="464">
        <v>49</v>
      </c>
      <c r="X119" s="724">
        <v>39612</v>
      </c>
      <c r="Y119" s="766"/>
      <c r="Z119" s="766"/>
      <c r="AA119" s="972"/>
      <c r="AB119" s="776"/>
      <c r="AC119" s="776"/>
      <c r="AD119" s="776"/>
      <c r="AE119" s="767"/>
      <c r="AF119" s="767"/>
      <c r="AG119" s="767"/>
      <c r="AH119" s="767"/>
      <c r="AI119" s="10"/>
    </row>
    <row r="120" spans="1:35" ht="15">
      <c r="A120" s="10"/>
      <c r="B120" s="965"/>
      <c r="C120" s="966"/>
      <c r="D120" s="967" t="s">
        <v>6</v>
      </c>
      <c r="E120" s="768"/>
      <c r="F120" s="968">
        <v>50</v>
      </c>
      <c r="G120" s="427">
        <f>IF('Terms of Use'!$D$33=0,(X120+(X120*$L$71)),(X120+(X120*$L$71)-550))</f>
        <v>39878</v>
      </c>
      <c r="H120" s="764"/>
      <c r="I120" s="764"/>
      <c r="J120" s="764"/>
      <c r="K120" s="764"/>
      <c r="L120" s="768"/>
      <c r="M120" s="768"/>
      <c r="N120" s="768"/>
      <c r="O120" s="768"/>
      <c r="P120" s="768"/>
      <c r="Q120" s="768"/>
      <c r="R120" s="939"/>
      <c r="S120" s="777"/>
      <c r="T120" s="970"/>
      <c r="U120" s="971"/>
      <c r="V120" s="867" t="s">
        <v>6</v>
      </c>
      <c r="W120" s="464">
        <v>50</v>
      </c>
      <c r="X120" s="724">
        <v>40428</v>
      </c>
      <c r="Y120" s="766"/>
      <c r="Z120" s="766"/>
      <c r="AA120" s="972"/>
      <c r="AB120" s="776"/>
      <c r="AC120" s="776"/>
      <c r="AD120" s="776"/>
      <c r="AE120" s="767"/>
      <c r="AF120" s="767"/>
      <c r="AG120" s="767"/>
      <c r="AH120" s="767"/>
      <c r="AI120" s="10"/>
    </row>
    <row r="121" spans="1:35" ht="18">
      <c r="A121" s="10"/>
      <c r="B121" s="965"/>
      <c r="C121" s="966"/>
      <c r="D121" s="967" t="s">
        <v>6</v>
      </c>
      <c r="E121" s="768"/>
      <c r="F121" s="968">
        <v>51</v>
      </c>
      <c r="G121" s="427">
        <f>IF('Terms of Use'!$D$33=0,(X121+(X121*$L$71)),(X121+(X121*$L$71)-550))</f>
        <v>40691</v>
      </c>
      <c r="H121" s="764"/>
      <c r="I121" s="764"/>
      <c r="J121" s="764"/>
      <c r="K121" s="764"/>
      <c r="L121" s="768"/>
      <c r="M121" s="768"/>
      <c r="N121" s="768"/>
      <c r="O121" s="768"/>
      <c r="P121" s="768"/>
      <c r="Q121" s="768"/>
      <c r="R121" s="939"/>
      <c r="S121" s="777"/>
      <c r="T121" s="970"/>
      <c r="U121" s="971"/>
      <c r="V121" s="867" t="s">
        <v>6</v>
      </c>
      <c r="W121" s="464">
        <v>51</v>
      </c>
      <c r="X121" s="724">
        <v>41241</v>
      </c>
      <c r="Y121" s="766"/>
      <c r="Z121" s="766"/>
      <c r="AA121" s="1121" t="s">
        <v>183</v>
      </c>
      <c r="AB121" s="1122"/>
      <c r="AC121" s="1122"/>
      <c r="AD121" s="776"/>
      <c r="AE121" s="767"/>
      <c r="AF121" s="767"/>
      <c r="AG121" s="767"/>
      <c r="AH121" s="767"/>
      <c r="AI121" s="10"/>
    </row>
    <row r="122" spans="1:35" ht="15">
      <c r="A122" s="10"/>
      <c r="B122" s="965"/>
      <c r="C122" s="966"/>
      <c r="D122" s="967" t="s">
        <v>6</v>
      </c>
      <c r="E122" s="768"/>
      <c r="F122" s="968">
        <v>52</v>
      </c>
      <c r="G122" s="427">
        <f>IF('Terms of Use'!$D$33=0,(X122+(X122*$L$71)),(X122+(X122*$L$71)-550))</f>
        <v>41510</v>
      </c>
      <c r="H122" s="764"/>
      <c r="I122" s="764"/>
      <c r="J122" s="764"/>
      <c r="K122" s="764"/>
      <c r="L122" s="768"/>
      <c r="M122" s="768"/>
      <c r="N122" s="768"/>
      <c r="O122" s="768"/>
      <c r="P122" s="768"/>
      <c r="Q122" s="768"/>
      <c r="R122" s="939"/>
      <c r="S122" s="777"/>
      <c r="T122" s="970"/>
      <c r="U122" s="971"/>
      <c r="V122" s="867" t="s">
        <v>6</v>
      </c>
      <c r="W122" s="464">
        <v>52</v>
      </c>
      <c r="X122" s="724">
        <v>42060</v>
      </c>
      <c r="Y122" s="766"/>
      <c r="Z122" s="766"/>
      <c r="AA122" s="972"/>
      <c r="AB122" s="776"/>
      <c r="AC122" s="776"/>
      <c r="AD122" s="776"/>
      <c r="AE122" s="767"/>
      <c r="AF122" s="767"/>
      <c r="AG122" s="767"/>
      <c r="AH122" s="767"/>
      <c r="AI122" s="10"/>
    </row>
    <row r="123" spans="1:35" ht="15">
      <c r="A123" s="10"/>
      <c r="B123" s="1006"/>
      <c r="C123" s="1007"/>
      <c r="D123" s="1008"/>
      <c r="E123" s="1008"/>
      <c r="F123" s="1009"/>
      <c r="G123" s="988"/>
      <c r="H123" s="764"/>
      <c r="I123" s="764"/>
      <c r="J123" s="764"/>
      <c r="K123" s="764"/>
      <c r="L123" s="768"/>
      <c r="M123" s="768"/>
      <c r="N123" s="768"/>
      <c r="O123" s="768"/>
      <c r="P123" s="768"/>
      <c r="Q123" s="768"/>
      <c r="R123" s="939"/>
      <c r="S123" s="777"/>
      <c r="T123" s="829"/>
      <c r="U123" s="1010"/>
      <c r="V123" s="1011"/>
      <c r="W123" s="1012"/>
      <c r="X123" s="830"/>
      <c r="Y123" s="766"/>
      <c r="Z123" s="766"/>
      <c r="AA123" s="972"/>
      <c r="AB123" s="776"/>
      <c r="AC123" s="776"/>
      <c r="AD123" s="776"/>
      <c r="AE123" s="767"/>
      <c r="AF123" s="767"/>
      <c r="AG123" s="767"/>
      <c r="AH123" s="767"/>
      <c r="AI123" s="10"/>
    </row>
    <row r="124" spans="1:35" ht="15">
      <c r="A124" s="10"/>
      <c r="B124" s="768"/>
      <c r="C124" s="768"/>
      <c r="D124" s="768"/>
      <c r="E124" s="768"/>
      <c r="F124" s="768"/>
      <c r="G124" s="768"/>
      <c r="H124" s="768"/>
      <c r="I124" s="768"/>
      <c r="J124" s="764"/>
      <c r="K124" s="764"/>
      <c r="L124" s="768"/>
      <c r="M124" s="768"/>
      <c r="N124" s="768"/>
      <c r="O124" s="768"/>
      <c r="P124" s="768"/>
      <c r="Q124" s="768"/>
      <c r="R124" s="939"/>
      <c r="S124" s="777"/>
      <c r="T124" s="777"/>
      <c r="U124" s="777"/>
      <c r="V124" s="777"/>
      <c r="W124" s="777"/>
      <c r="X124" s="777"/>
      <c r="Y124" s="777"/>
      <c r="Z124" s="766"/>
      <c r="AA124" s="776"/>
      <c r="AB124" s="776"/>
      <c r="AC124" s="776"/>
      <c r="AD124" s="776"/>
      <c r="AE124" s="767"/>
      <c r="AF124" s="767"/>
      <c r="AG124" s="767"/>
      <c r="AH124" s="767"/>
      <c r="AI124" s="10"/>
    </row>
    <row r="125" spans="1:35" ht="18">
      <c r="A125" s="10"/>
      <c r="B125" s="784" t="s">
        <v>66</v>
      </c>
      <c r="C125" s="764"/>
      <c r="D125" s="764"/>
      <c r="E125" s="764"/>
      <c r="F125" s="764"/>
      <c r="G125" s="764"/>
      <c r="H125" s="764"/>
      <c r="I125" s="764"/>
      <c r="J125" s="764"/>
      <c r="K125" s="768"/>
      <c r="L125" s="768"/>
      <c r="M125" s="768"/>
      <c r="N125" s="768"/>
      <c r="O125" s="768"/>
      <c r="P125" s="768"/>
      <c r="Q125" s="768"/>
      <c r="R125" s="939"/>
      <c r="S125" s="777"/>
      <c r="T125" s="1013" t="s">
        <v>66</v>
      </c>
      <c r="U125" s="776"/>
      <c r="V125" s="776"/>
      <c r="W125" s="776"/>
      <c r="X125" s="776"/>
      <c r="Y125" s="776"/>
      <c r="Z125" s="766"/>
      <c r="AA125" s="776"/>
      <c r="AB125" s="776"/>
      <c r="AC125" s="776"/>
      <c r="AD125" s="776"/>
      <c r="AE125" s="767"/>
      <c r="AF125" s="767"/>
      <c r="AG125" s="767"/>
      <c r="AH125" s="767"/>
      <c r="AI125" s="10"/>
    </row>
    <row r="126" spans="1:35" ht="15">
      <c r="A126" s="10"/>
      <c r="B126" s="764"/>
      <c r="C126" s="764"/>
      <c r="D126" s="764"/>
      <c r="E126" s="764"/>
      <c r="F126" s="764"/>
      <c r="G126" s="764"/>
      <c r="H126" s="764"/>
      <c r="I126" s="764"/>
      <c r="J126" s="991" t="s">
        <v>171</v>
      </c>
      <c r="K126" s="1014"/>
      <c r="L126" s="977"/>
      <c r="M126" s="768"/>
      <c r="N126" s="768"/>
      <c r="O126" s="768"/>
      <c r="P126" s="768"/>
      <c r="Q126" s="764"/>
      <c r="R126" s="765"/>
      <c r="S126" s="776"/>
      <c r="T126" s="776"/>
      <c r="U126" s="776"/>
      <c r="V126" s="776"/>
      <c r="W126" s="776"/>
      <c r="X126" s="776"/>
      <c r="Y126" s="776"/>
      <c r="Z126" s="766"/>
      <c r="AA126" s="776"/>
      <c r="AB126" s="995" t="s">
        <v>171</v>
      </c>
      <c r="AC126" s="996"/>
      <c r="AD126" s="997"/>
      <c r="AE126" s="767"/>
      <c r="AF126" s="767"/>
      <c r="AG126" s="767"/>
      <c r="AH126" s="767"/>
      <c r="AI126" s="10"/>
    </row>
    <row r="127" spans="1:35" ht="15">
      <c r="A127" s="10"/>
      <c r="B127" s="991" t="s">
        <v>67</v>
      </c>
      <c r="C127" s="1015"/>
      <c r="D127" s="977"/>
      <c r="E127" s="978"/>
      <c r="F127" s="1016" t="s">
        <v>108</v>
      </c>
      <c r="G127" s="978"/>
      <c r="H127" s="764"/>
      <c r="I127" s="764"/>
      <c r="J127" s="836" t="s">
        <v>172</v>
      </c>
      <c r="K127" s="1017"/>
      <c r="L127" s="1018"/>
      <c r="M127" s="768"/>
      <c r="N127" s="768"/>
      <c r="O127" s="768"/>
      <c r="P127" s="768"/>
      <c r="Q127" s="764"/>
      <c r="R127" s="765"/>
      <c r="S127" s="776"/>
      <c r="T127" s="1019" t="s">
        <v>67</v>
      </c>
      <c r="U127" s="1020"/>
      <c r="V127" s="980"/>
      <c r="W127" s="776"/>
      <c r="X127" s="1021" t="s">
        <v>108</v>
      </c>
      <c r="Y127" s="776"/>
      <c r="Z127" s="766"/>
      <c r="AA127" s="776"/>
      <c r="AB127" s="842" t="s">
        <v>172</v>
      </c>
      <c r="AC127" s="1022"/>
      <c r="AD127" s="1023"/>
      <c r="AE127" s="767"/>
      <c r="AF127" s="767"/>
      <c r="AG127" s="767"/>
      <c r="AH127" s="767"/>
      <c r="AI127" s="10"/>
    </row>
    <row r="128" spans="1:35" ht="15">
      <c r="A128" s="10"/>
      <c r="B128" s="1024"/>
      <c r="C128" s="1014" t="s">
        <v>68</v>
      </c>
      <c r="D128" s="432">
        <f>($G$70)</f>
        <v>38443</v>
      </c>
      <c r="E128" s="978"/>
      <c r="F128" s="1025" t="s">
        <v>69</v>
      </c>
      <c r="G128" s="466"/>
      <c r="H128" s="764"/>
      <c r="I128" s="764"/>
      <c r="J128" s="1026" t="s">
        <v>173</v>
      </c>
      <c r="K128" s="1027"/>
      <c r="L128" s="437">
        <f>($G$70)</f>
        <v>38443</v>
      </c>
      <c r="M128" s="768"/>
      <c r="N128" s="768"/>
      <c r="O128" s="768"/>
      <c r="P128" s="768"/>
      <c r="Q128" s="764"/>
      <c r="R128" s="765"/>
      <c r="S128" s="776"/>
      <c r="T128" s="1028"/>
      <c r="U128" s="1029" t="s">
        <v>68</v>
      </c>
      <c r="V128" s="465">
        <f>$X$70</f>
        <v>38443</v>
      </c>
      <c r="W128" s="776"/>
      <c r="X128" s="1030" t="s">
        <v>69</v>
      </c>
      <c r="Y128" s="776"/>
      <c r="Z128" s="766"/>
      <c r="AA128" s="776"/>
      <c r="AB128" s="1031" t="s">
        <v>173</v>
      </c>
      <c r="AC128" s="1032"/>
      <c r="AD128" s="439">
        <f>($X$70)</f>
        <v>38443</v>
      </c>
      <c r="AE128" s="767"/>
      <c r="AF128" s="767"/>
      <c r="AG128" s="767"/>
      <c r="AH128" s="767"/>
      <c r="AI128" s="10"/>
    </row>
    <row r="129" spans="1:35" ht="15">
      <c r="A129" s="10"/>
      <c r="B129" s="1033" t="s">
        <v>6</v>
      </c>
      <c r="C129" s="1034">
        <v>4</v>
      </c>
      <c r="D129" s="634">
        <f>IF('Terms of Use'!$L$34=0,(V129+(V129*$L$71)),(V129+(V129*$L$71-0.55)))</f>
        <v>7.028846153846154</v>
      </c>
      <c r="E129" s="978"/>
      <c r="F129" s="1035" t="s">
        <v>70</v>
      </c>
      <c r="G129" s="466"/>
      <c r="H129" s="764"/>
      <c r="I129" s="764"/>
      <c r="J129" s="880" t="s">
        <v>6</v>
      </c>
      <c r="K129" s="978">
        <v>4</v>
      </c>
      <c r="L129" s="457">
        <f aca="true" t="shared" si="0" ref="L129:L134">SUM(G74-M$98+107.8)/(I$8*52)</f>
        <v>5.67724358974359</v>
      </c>
      <c r="M129" s="768"/>
      <c r="N129" s="768"/>
      <c r="O129" s="768"/>
      <c r="P129" s="768"/>
      <c r="Q129" s="764"/>
      <c r="R129" s="765"/>
      <c r="S129" s="776"/>
      <c r="T129" s="1036" t="s">
        <v>6</v>
      </c>
      <c r="U129" s="1037">
        <v>4</v>
      </c>
      <c r="V129" s="434">
        <f>(X74/($I$8*52))</f>
        <v>7.028846153846154</v>
      </c>
      <c r="W129" s="776"/>
      <c r="X129" s="1038" t="s">
        <v>70</v>
      </c>
      <c r="Y129" s="776"/>
      <c r="Z129" s="766"/>
      <c r="AA129" s="776"/>
      <c r="AB129" s="883" t="s">
        <v>6</v>
      </c>
      <c r="AC129" s="906">
        <v>4</v>
      </c>
      <c r="AD129" s="731">
        <v>0</v>
      </c>
      <c r="AE129" s="767"/>
      <c r="AF129" s="767"/>
      <c r="AG129" s="767"/>
      <c r="AH129" s="767"/>
      <c r="AI129" s="10"/>
    </row>
    <row r="130" spans="1:35" ht="15">
      <c r="A130" s="10"/>
      <c r="B130" s="1033" t="s">
        <v>6</v>
      </c>
      <c r="C130" s="847">
        <v>5</v>
      </c>
      <c r="D130" s="634">
        <f>IF('Terms of Use'!$L$34=0,(V130+(V130*$L$71)),(V130+(V130*$L$71-0.55)))</f>
        <v>7.1506410256410255</v>
      </c>
      <c r="E130" s="978"/>
      <c r="F130" s="1034" t="s">
        <v>68</v>
      </c>
      <c r="G130" s="466"/>
      <c r="H130" s="764"/>
      <c r="I130" s="1039"/>
      <c r="J130" s="880" t="s">
        <v>6</v>
      </c>
      <c r="K130" s="978">
        <v>5</v>
      </c>
      <c r="L130" s="458">
        <f t="shared" si="0"/>
        <v>5.799038461538461</v>
      </c>
      <c r="M130" s="768"/>
      <c r="N130" s="768"/>
      <c r="O130" s="768"/>
      <c r="P130" s="768"/>
      <c r="Q130" s="764"/>
      <c r="R130" s="765"/>
      <c r="S130" s="776"/>
      <c r="T130" s="1036" t="s">
        <v>6</v>
      </c>
      <c r="U130" s="843">
        <v>5</v>
      </c>
      <c r="V130" s="434">
        <f>(X75/($I$8*52))</f>
        <v>7.1506410256410255</v>
      </c>
      <c r="W130" s="776"/>
      <c r="X130" s="1037" t="s">
        <v>68</v>
      </c>
      <c r="Y130" s="776"/>
      <c r="Z130" s="766"/>
      <c r="AA130" s="776"/>
      <c r="AB130" s="883" t="s">
        <v>6</v>
      </c>
      <c r="AC130" s="906">
        <v>5</v>
      </c>
      <c r="AD130" s="732">
        <v>0</v>
      </c>
      <c r="AE130" s="767"/>
      <c r="AF130" s="767"/>
      <c r="AG130" s="767"/>
      <c r="AH130" s="767"/>
      <c r="AI130" s="10"/>
    </row>
    <row r="131" spans="1:35" ht="15">
      <c r="A131" s="10"/>
      <c r="B131" s="1033" t="s">
        <v>6</v>
      </c>
      <c r="C131" s="847">
        <v>6</v>
      </c>
      <c r="D131" s="634">
        <f>IF('Terms of Use'!$L$34=0,(V131+(V131*$L$71)),(V131+(V131*$L$71-0.55)))</f>
        <v>7.2131410256410255</v>
      </c>
      <c r="E131" s="978"/>
      <c r="F131" s="433">
        <f>($G$70)</f>
        <v>38443</v>
      </c>
      <c r="G131" s="466"/>
      <c r="H131" s="764"/>
      <c r="I131" s="764"/>
      <c r="J131" s="880" t="s">
        <v>6</v>
      </c>
      <c r="K131" s="978">
        <v>6</v>
      </c>
      <c r="L131" s="458">
        <f t="shared" si="0"/>
        <v>5.861538461538461</v>
      </c>
      <c r="M131" s="768"/>
      <c r="N131" s="768"/>
      <c r="O131" s="768"/>
      <c r="P131" s="768"/>
      <c r="Q131" s="764"/>
      <c r="R131" s="765"/>
      <c r="S131" s="776"/>
      <c r="T131" s="1036" t="s">
        <v>6</v>
      </c>
      <c r="U131" s="843">
        <v>6</v>
      </c>
      <c r="V131" s="434">
        <f>(X76/($I$8*52))</f>
        <v>7.2131410256410255</v>
      </c>
      <c r="W131" s="776"/>
      <c r="X131" s="1040">
        <f>$X$70</f>
        <v>38443</v>
      </c>
      <c r="Y131" s="776"/>
      <c r="Z131" s="766"/>
      <c r="AA131" s="776"/>
      <c r="AB131" s="883" t="s">
        <v>6</v>
      </c>
      <c r="AC131" s="906">
        <v>6</v>
      </c>
      <c r="AD131" s="732">
        <v>0</v>
      </c>
      <c r="AE131" s="767"/>
      <c r="AF131" s="767"/>
      <c r="AG131" s="767"/>
      <c r="AH131" s="767"/>
      <c r="AI131" s="10"/>
    </row>
    <row r="132" spans="1:35" ht="15.75" thickBot="1">
      <c r="A132" s="10"/>
      <c r="B132" s="1033" t="s">
        <v>6</v>
      </c>
      <c r="C132" s="847">
        <v>7</v>
      </c>
      <c r="D132" s="634">
        <f>IF('Terms of Use'!$L$34=0,(V132+(V132*$L$71)),(V132+(V132*$L$71-0.55)))</f>
        <v>7.405448717948718</v>
      </c>
      <c r="E132" s="978"/>
      <c r="F132" s="847"/>
      <c r="G132" s="466"/>
      <c r="H132" s="764"/>
      <c r="I132" s="764"/>
      <c r="J132" s="880" t="s">
        <v>6</v>
      </c>
      <c r="K132" s="978">
        <v>7</v>
      </c>
      <c r="L132" s="458">
        <f t="shared" si="0"/>
        <v>6.053846153846154</v>
      </c>
      <c r="M132" s="768"/>
      <c r="N132" s="768"/>
      <c r="O132" s="768"/>
      <c r="P132" s="768"/>
      <c r="Q132" s="764"/>
      <c r="R132" s="765"/>
      <c r="S132" s="776"/>
      <c r="T132" s="1036" t="s">
        <v>6</v>
      </c>
      <c r="U132" s="843">
        <v>7</v>
      </c>
      <c r="V132" s="434">
        <f aca="true" t="shared" si="1" ref="V132:V159">(X77/($I$8*52))</f>
        <v>7.405448717948718</v>
      </c>
      <c r="W132" s="776"/>
      <c r="X132" s="843"/>
      <c r="Y132" s="776"/>
      <c r="Z132" s="766"/>
      <c r="AA132" s="776"/>
      <c r="AB132" s="883" t="s">
        <v>6</v>
      </c>
      <c r="AC132" s="906">
        <v>7</v>
      </c>
      <c r="AD132" s="732">
        <v>0</v>
      </c>
      <c r="AE132" s="767"/>
      <c r="AF132" s="767"/>
      <c r="AG132" s="767"/>
      <c r="AH132" s="767"/>
      <c r="AI132" s="10"/>
    </row>
    <row r="133" spans="1:35" ht="17.25" thickBot="1" thickTop="1">
      <c r="A133" s="10"/>
      <c r="B133" s="1033" t="s">
        <v>6</v>
      </c>
      <c r="C133" s="847">
        <v>8</v>
      </c>
      <c r="D133" s="634">
        <f>IF('Terms of Use'!$L$34=0,(V133+(V133*$L$71)),(V133+(V133*$L$71-0.55)))</f>
        <v>7.5993589743589745</v>
      </c>
      <c r="E133" s="978"/>
      <c r="F133" s="431">
        <f>(X133+(X133*$L$71))</f>
        <v>0</v>
      </c>
      <c r="G133" s="1041" t="s">
        <v>174</v>
      </c>
      <c r="H133" s="764"/>
      <c r="I133" s="764"/>
      <c r="J133" s="880" t="s">
        <v>6</v>
      </c>
      <c r="K133" s="978">
        <v>8</v>
      </c>
      <c r="L133" s="458">
        <f t="shared" si="0"/>
        <v>6.24775641025641</v>
      </c>
      <c r="M133" s="768"/>
      <c r="N133" s="768"/>
      <c r="O133" s="768"/>
      <c r="P133" s="768"/>
      <c r="Q133" s="764"/>
      <c r="R133" s="765"/>
      <c r="S133" s="776"/>
      <c r="T133" s="1036" t="s">
        <v>6</v>
      </c>
      <c r="U133" s="843">
        <v>8</v>
      </c>
      <c r="V133" s="434">
        <f t="shared" si="1"/>
        <v>7.5993589743589745</v>
      </c>
      <c r="W133" s="776"/>
      <c r="X133" s="435">
        <f>(AA134/($I$8*52.142))</f>
        <v>0</v>
      </c>
      <c r="Y133" s="776"/>
      <c r="Z133" s="766"/>
      <c r="AA133" s="776"/>
      <c r="AB133" s="883" t="s">
        <v>6</v>
      </c>
      <c r="AC133" s="906">
        <v>8</v>
      </c>
      <c r="AD133" s="732">
        <v>0</v>
      </c>
      <c r="AE133" s="767"/>
      <c r="AF133" s="767"/>
      <c r="AG133" s="767"/>
      <c r="AH133" s="767"/>
      <c r="AI133" s="10"/>
    </row>
    <row r="134" spans="1:35" ht="15.75" thickTop="1">
      <c r="A134" s="10"/>
      <c r="B134" s="1033" t="s">
        <v>6</v>
      </c>
      <c r="C134" s="847">
        <v>9</v>
      </c>
      <c r="D134" s="634">
        <f>IF('Terms of Use'!$L$34=0,(V134+(V134*$L$71)),(V134+(V134*$L$71-0.55)))</f>
        <v>7.790064102564102</v>
      </c>
      <c r="E134" s="978"/>
      <c r="F134" s="847" t="s">
        <v>71</v>
      </c>
      <c r="G134" s="466"/>
      <c r="H134" s="764"/>
      <c r="I134" s="764"/>
      <c r="J134" s="880" t="s">
        <v>6</v>
      </c>
      <c r="K134" s="978">
        <v>9</v>
      </c>
      <c r="L134" s="458">
        <f t="shared" si="0"/>
        <v>6.438461538461538</v>
      </c>
      <c r="M134" s="768"/>
      <c r="N134" s="768"/>
      <c r="O134" s="768"/>
      <c r="P134" s="768"/>
      <c r="Q134" s="764"/>
      <c r="R134" s="765"/>
      <c r="S134" s="776"/>
      <c r="T134" s="1036" t="s">
        <v>6</v>
      </c>
      <c r="U134" s="843">
        <v>9</v>
      </c>
      <c r="V134" s="434">
        <f t="shared" si="1"/>
        <v>7.790064102564102</v>
      </c>
      <c r="W134" s="776"/>
      <c r="X134" s="843" t="s">
        <v>71</v>
      </c>
      <c r="Y134" s="776"/>
      <c r="Z134" s="766"/>
      <c r="AA134" s="776"/>
      <c r="AB134" s="883" t="s">
        <v>6</v>
      </c>
      <c r="AC134" s="906">
        <v>9</v>
      </c>
      <c r="AD134" s="732">
        <v>0</v>
      </c>
      <c r="AE134" s="767"/>
      <c r="AF134" s="767"/>
      <c r="AG134" s="767"/>
      <c r="AH134" s="767"/>
      <c r="AI134" s="10"/>
    </row>
    <row r="135" spans="1:35" ht="15">
      <c r="A135" s="10"/>
      <c r="B135" s="1033" t="s">
        <v>6</v>
      </c>
      <c r="C135" s="847">
        <v>10</v>
      </c>
      <c r="D135" s="634">
        <f>IF('Terms of Use'!$L$34=0,(V135+(V135*$L$71)),(V135+(V135*$L$71-0.55)))</f>
        <v>7.927884615384615</v>
      </c>
      <c r="E135" s="978"/>
      <c r="F135" s="1042"/>
      <c r="G135" s="466"/>
      <c r="H135" s="764"/>
      <c r="I135" s="764"/>
      <c r="J135" s="1043"/>
      <c r="K135" s="1044"/>
      <c r="L135" s="1045"/>
      <c r="M135" s="768"/>
      <c r="N135" s="768"/>
      <c r="O135" s="768"/>
      <c r="P135" s="768"/>
      <c r="Q135" s="764"/>
      <c r="R135" s="765"/>
      <c r="S135" s="776"/>
      <c r="T135" s="1036" t="s">
        <v>6</v>
      </c>
      <c r="U135" s="843">
        <v>10</v>
      </c>
      <c r="V135" s="434">
        <f t="shared" si="1"/>
        <v>7.927884615384615</v>
      </c>
      <c r="W135" s="776"/>
      <c r="X135" s="1046"/>
      <c r="Y135" s="776"/>
      <c r="Z135" s="766"/>
      <c r="AA135" s="776"/>
      <c r="AB135" s="1047"/>
      <c r="AC135" s="1048"/>
      <c r="AD135" s="1049"/>
      <c r="AE135" s="767"/>
      <c r="AF135" s="767"/>
      <c r="AG135" s="767"/>
      <c r="AH135" s="767"/>
      <c r="AI135" s="10"/>
    </row>
    <row r="136" spans="1:35" ht="15.75">
      <c r="A136" s="10"/>
      <c r="B136" s="1033" t="s">
        <v>6</v>
      </c>
      <c r="C136" s="847">
        <v>11</v>
      </c>
      <c r="D136" s="634">
        <f>IF('Terms of Use'!$L$34=0,(V136+(V136*$L$71)),(V136+(V136*$L$71-0.55)))</f>
        <v>8.041666666666666</v>
      </c>
      <c r="E136" s="978"/>
      <c r="F136" s="978"/>
      <c r="G136" s="466"/>
      <c r="H136" s="764"/>
      <c r="I136" s="764"/>
      <c r="J136" s="764"/>
      <c r="K136" s="764"/>
      <c r="L136" s="764"/>
      <c r="M136" s="768"/>
      <c r="N136" s="768"/>
      <c r="O136" s="768"/>
      <c r="P136" s="768"/>
      <c r="Q136" s="764"/>
      <c r="R136" s="765"/>
      <c r="S136" s="776"/>
      <c r="T136" s="1036" t="s">
        <v>6</v>
      </c>
      <c r="U136" s="843">
        <v>11</v>
      </c>
      <c r="V136" s="434">
        <f t="shared" si="1"/>
        <v>8.041666666666666</v>
      </c>
      <c r="W136" s="776"/>
      <c r="X136" s="958"/>
      <c r="Y136" s="776"/>
      <c r="Z136" s="776"/>
      <c r="AA136" s="766"/>
      <c r="AB136" s="776"/>
      <c r="AC136" s="800"/>
      <c r="AD136" s="941"/>
      <c r="AE136" s="767"/>
      <c r="AF136" s="767"/>
      <c r="AG136" s="767"/>
      <c r="AH136" s="767"/>
      <c r="AI136" s="10"/>
    </row>
    <row r="137" spans="1:35" ht="15.75">
      <c r="A137" s="10"/>
      <c r="B137" s="1033" t="s">
        <v>6</v>
      </c>
      <c r="C137" s="847">
        <v>12</v>
      </c>
      <c r="D137" s="634">
        <f>IF('Terms of Use'!$L$34=0,(V137+(V137*$L$71)),(V137+(V137*$L$71-0.55)))</f>
        <v>8.195512820512821</v>
      </c>
      <c r="E137" s="978"/>
      <c r="F137" s="978"/>
      <c r="G137" s="466"/>
      <c r="H137" s="764"/>
      <c r="I137" s="764"/>
      <c r="J137" s="764"/>
      <c r="K137" s="768"/>
      <c r="L137" s="768"/>
      <c r="M137" s="768"/>
      <c r="N137" s="768"/>
      <c r="O137" s="768"/>
      <c r="P137" s="768"/>
      <c r="Q137" s="764"/>
      <c r="R137" s="765"/>
      <c r="S137" s="776"/>
      <c r="T137" s="1036" t="s">
        <v>6</v>
      </c>
      <c r="U137" s="843">
        <v>12</v>
      </c>
      <c r="V137" s="434">
        <f t="shared" si="1"/>
        <v>8.195512820512821</v>
      </c>
      <c r="W137" s="776"/>
      <c r="X137" s="958"/>
      <c r="Y137" s="776"/>
      <c r="Z137" s="776"/>
      <c r="AA137" s="766"/>
      <c r="AB137" s="776"/>
      <c r="AC137" s="800"/>
      <c r="AD137" s="941"/>
      <c r="AE137" s="767"/>
      <c r="AF137" s="767"/>
      <c r="AG137" s="767"/>
      <c r="AH137" s="767"/>
      <c r="AI137" s="10"/>
    </row>
    <row r="138" spans="1:35" ht="15.75">
      <c r="A138" s="10"/>
      <c r="B138" s="1033" t="s">
        <v>6</v>
      </c>
      <c r="C138" s="847">
        <v>13</v>
      </c>
      <c r="D138" s="634">
        <f>IF('Terms of Use'!$L$34=0,(V138+(V138*$L$71)),(V138+(V138*$L$71-0.55)))</f>
        <v>8.39102564102564</v>
      </c>
      <c r="E138" s="978"/>
      <c r="F138" s="978"/>
      <c r="G138" s="466"/>
      <c r="H138" s="764"/>
      <c r="I138" s="764"/>
      <c r="J138" s="764"/>
      <c r="K138" s="768"/>
      <c r="L138" s="768"/>
      <c r="M138" s="768"/>
      <c r="N138" s="768"/>
      <c r="O138" s="768"/>
      <c r="P138" s="768"/>
      <c r="Q138" s="764"/>
      <c r="R138" s="765"/>
      <c r="S138" s="776"/>
      <c r="T138" s="1036" t="s">
        <v>6</v>
      </c>
      <c r="U138" s="843">
        <v>13</v>
      </c>
      <c r="V138" s="434">
        <f t="shared" si="1"/>
        <v>8.39102564102564</v>
      </c>
      <c r="W138" s="776"/>
      <c r="X138" s="958"/>
      <c r="Y138" s="776"/>
      <c r="Z138" s="776"/>
      <c r="AA138" s="766"/>
      <c r="AB138" s="776"/>
      <c r="AC138" s="800"/>
      <c r="AD138" s="941"/>
      <c r="AE138" s="767"/>
      <c r="AF138" s="767"/>
      <c r="AG138" s="767"/>
      <c r="AH138" s="767"/>
      <c r="AI138" s="10"/>
    </row>
    <row r="139" spans="1:35" ht="15.75">
      <c r="A139" s="10"/>
      <c r="B139" s="1033" t="s">
        <v>6</v>
      </c>
      <c r="C139" s="847">
        <v>14</v>
      </c>
      <c r="D139" s="634">
        <f>IF('Terms of Use'!$L$34=0,(V139+(V139*$L$71)),(V139+(V139*$L$71-0.55)))</f>
        <v>8.530448717948717</v>
      </c>
      <c r="E139" s="978"/>
      <c r="F139" s="978"/>
      <c r="G139" s="466"/>
      <c r="H139" s="764"/>
      <c r="I139" s="764"/>
      <c r="J139" s="764"/>
      <c r="K139" s="768"/>
      <c r="L139" s="768"/>
      <c r="M139" s="768"/>
      <c r="N139" s="768"/>
      <c r="O139" s="768"/>
      <c r="P139" s="768"/>
      <c r="Q139" s="764"/>
      <c r="R139" s="765"/>
      <c r="S139" s="776"/>
      <c r="T139" s="1036" t="s">
        <v>6</v>
      </c>
      <c r="U139" s="843">
        <v>14</v>
      </c>
      <c r="V139" s="434">
        <f t="shared" si="1"/>
        <v>8.530448717948717</v>
      </c>
      <c r="W139" s="776"/>
      <c r="X139" s="958"/>
      <c r="Y139" s="776"/>
      <c r="Z139" s="776"/>
      <c r="AA139" s="766"/>
      <c r="AB139" s="776"/>
      <c r="AC139" s="800"/>
      <c r="AD139" s="941"/>
      <c r="AE139" s="767"/>
      <c r="AF139" s="767"/>
      <c r="AG139" s="767"/>
      <c r="AH139" s="767"/>
      <c r="AI139" s="10"/>
    </row>
    <row r="140" spans="1:35" ht="15.75">
      <c r="A140" s="10"/>
      <c r="B140" s="1033" t="s">
        <v>6</v>
      </c>
      <c r="C140" s="847">
        <v>15</v>
      </c>
      <c r="D140" s="634">
        <f>IF('Terms of Use'!$L$34=0,(V140+(V140*$L$71)),(V140+(V140*$L$71-0.55)))</f>
        <v>8.689102564102564</v>
      </c>
      <c r="E140" s="978"/>
      <c r="F140" s="978"/>
      <c r="G140" s="466"/>
      <c r="H140" s="764"/>
      <c r="I140" s="764"/>
      <c r="J140" s="764"/>
      <c r="K140" s="768"/>
      <c r="L140" s="768"/>
      <c r="M140" s="768"/>
      <c r="N140" s="768"/>
      <c r="O140" s="768"/>
      <c r="P140" s="768"/>
      <c r="Q140" s="764"/>
      <c r="R140" s="765"/>
      <c r="S140" s="776"/>
      <c r="T140" s="1036" t="s">
        <v>6</v>
      </c>
      <c r="U140" s="843">
        <v>15</v>
      </c>
      <c r="V140" s="434">
        <f t="shared" si="1"/>
        <v>8.689102564102564</v>
      </c>
      <c r="W140" s="776"/>
      <c r="X140" s="958"/>
      <c r="Y140" s="776"/>
      <c r="Z140" s="776"/>
      <c r="AA140" s="766"/>
      <c r="AB140" s="776"/>
      <c r="AC140" s="800"/>
      <c r="AD140" s="941"/>
      <c r="AE140" s="767"/>
      <c r="AF140" s="767"/>
      <c r="AG140" s="767"/>
      <c r="AH140" s="767"/>
      <c r="AI140" s="10"/>
    </row>
    <row r="141" spans="1:35" ht="15.75">
      <c r="A141" s="10"/>
      <c r="B141" s="1033" t="s">
        <v>6</v>
      </c>
      <c r="C141" s="847">
        <v>16</v>
      </c>
      <c r="D141" s="634">
        <f>IF('Terms of Use'!$L$34=0,(V141+(V141*$L$71)),(V141+(V141*$L$71-0.55)))</f>
        <v>8.878205128205128</v>
      </c>
      <c r="E141" s="978"/>
      <c r="F141" s="978"/>
      <c r="G141" s="466"/>
      <c r="H141" s="764"/>
      <c r="I141" s="764"/>
      <c r="J141" s="764"/>
      <c r="K141" s="768"/>
      <c r="L141" s="768"/>
      <c r="M141" s="768"/>
      <c r="N141" s="768"/>
      <c r="O141" s="768"/>
      <c r="P141" s="768"/>
      <c r="Q141" s="764"/>
      <c r="R141" s="765"/>
      <c r="S141" s="776"/>
      <c r="T141" s="1036" t="s">
        <v>6</v>
      </c>
      <c r="U141" s="843">
        <v>16</v>
      </c>
      <c r="V141" s="434">
        <f t="shared" si="1"/>
        <v>8.878205128205128</v>
      </c>
      <c r="W141" s="776"/>
      <c r="X141" s="958"/>
      <c r="Y141" s="776"/>
      <c r="Z141" s="776"/>
      <c r="AA141" s="766"/>
      <c r="AB141" s="776"/>
      <c r="AC141" s="800"/>
      <c r="AD141" s="941"/>
      <c r="AE141" s="767"/>
      <c r="AF141" s="767"/>
      <c r="AG141" s="767"/>
      <c r="AH141" s="767"/>
      <c r="AI141" s="10"/>
    </row>
    <row r="142" spans="1:35" ht="15.75">
      <c r="A142" s="10"/>
      <c r="B142" s="1033" t="s">
        <v>6</v>
      </c>
      <c r="C142" s="847">
        <v>17</v>
      </c>
      <c r="D142" s="634">
        <f>IF('Terms of Use'!$L$34=0,(V142+(V142*$L$71)),(V142+(V142*$L$71-0.55)))</f>
        <v>9.067307692307692</v>
      </c>
      <c r="E142" s="978"/>
      <c r="F142" s="978"/>
      <c r="G142" s="466"/>
      <c r="H142" s="764"/>
      <c r="I142" s="764"/>
      <c r="J142" s="764"/>
      <c r="K142" s="768"/>
      <c r="L142" s="768"/>
      <c r="M142" s="768"/>
      <c r="N142" s="768"/>
      <c r="O142" s="768"/>
      <c r="P142" s="768"/>
      <c r="Q142" s="764"/>
      <c r="R142" s="765"/>
      <c r="S142" s="776"/>
      <c r="T142" s="1036" t="s">
        <v>6</v>
      </c>
      <c r="U142" s="843">
        <v>17</v>
      </c>
      <c r="V142" s="434">
        <f t="shared" si="1"/>
        <v>9.067307692307692</v>
      </c>
      <c r="W142" s="776"/>
      <c r="X142" s="958"/>
      <c r="Y142" s="776"/>
      <c r="Z142" s="776"/>
      <c r="AA142" s="766"/>
      <c r="AB142" s="776"/>
      <c r="AC142" s="800"/>
      <c r="AD142" s="941"/>
      <c r="AE142" s="767"/>
      <c r="AF142" s="767"/>
      <c r="AG142" s="767"/>
      <c r="AH142" s="767"/>
      <c r="AI142" s="10"/>
    </row>
    <row r="143" spans="1:35" ht="15.75">
      <c r="A143" s="10"/>
      <c r="B143" s="1033" t="s">
        <v>6</v>
      </c>
      <c r="C143" s="847">
        <v>18</v>
      </c>
      <c r="D143" s="634">
        <f>IF('Terms of Use'!$L$34=0,(V143+(V143*$L$71)),(V143+(V143*$L$71-0.55)))</f>
        <v>9.229166666666666</v>
      </c>
      <c r="E143" s="978"/>
      <c r="F143" s="978"/>
      <c r="G143" s="466"/>
      <c r="H143" s="764"/>
      <c r="I143" s="764"/>
      <c r="J143" s="764"/>
      <c r="K143" s="768"/>
      <c r="L143" s="768"/>
      <c r="M143" s="768"/>
      <c r="N143" s="768"/>
      <c r="O143" s="768"/>
      <c r="P143" s="768"/>
      <c r="Q143" s="764"/>
      <c r="R143" s="765"/>
      <c r="S143" s="776"/>
      <c r="T143" s="1036" t="s">
        <v>6</v>
      </c>
      <c r="U143" s="843">
        <v>18</v>
      </c>
      <c r="V143" s="434">
        <f t="shared" si="1"/>
        <v>9.229166666666666</v>
      </c>
      <c r="W143" s="776"/>
      <c r="X143" s="958"/>
      <c r="Y143" s="776"/>
      <c r="Z143" s="776"/>
      <c r="AA143" s="766"/>
      <c r="AB143" s="776"/>
      <c r="AC143" s="800"/>
      <c r="AD143" s="941"/>
      <c r="AE143" s="767"/>
      <c r="AF143" s="767"/>
      <c r="AG143" s="767"/>
      <c r="AH143" s="767"/>
      <c r="AI143" s="10"/>
    </row>
    <row r="144" spans="1:35" ht="18">
      <c r="A144" s="10"/>
      <c r="B144" s="1033" t="s">
        <v>6</v>
      </c>
      <c r="C144" s="847">
        <v>19</v>
      </c>
      <c r="D144" s="634">
        <f>IF('Terms of Use'!$L$34=0,(V144+(V144*$L$71)),(V144+(V144*$L$71-0.55)))</f>
        <v>9.54326923076923</v>
      </c>
      <c r="E144" s="978"/>
      <c r="F144" s="978"/>
      <c r="G144" s="466"/>
      <c r="H144" s="764"/>
      <c r="I144" s="764"/>
      <c r="J144" s="764"/>
      <c r="K144" s="768"/>
      <c r="L144" s="768"/>
      <c r="M144" s="768"/>
      <c r="N144" s="768"/>
      <c r="O144" s="768"/>
      <c r="P144" s="768"/>
      <c r="Q144" s="764"/>
      <c r="R144" s="765"/>
      <c r="S144" s="776"/>
      <c r="T144" s="1036" t="s">
        <v>6</v>
      </c>
      <c r="U144" s="843">
        <v>19</v>
      </c>
      <c r="V144" s="434">
        <f t="shared" si="1"/>
        <v>9.54326923076923</v>
      </c>
      <c r="W144" s="776"/>
      <c r="X144" s="958"/>
      <c r="Y144" s="776"/>
      <c r="Z144" s="776"/>
      <c r="AA144" s="1121" t="s">
        <v>183</v>
      </c>
      <c r="AB144" s="1122"/>
      <c r="AC144" s="1122"/>
      <c r="AD144" s="941"/>
      <c r="AE144" s="767"/>
      <c r="AF144" s="767"/>
      <c r="AG144" s="767"/>
      <c r="AH144" s="767"/>
      <c r="AI144" s="10"/>
    </row>
    <row r="145" spans="1:35" ht="15.75">
      <c r="A145" s="10"/>
      <c r="B145" s="1033" t="s">
        <v>6</v>
      </c>
      <c r="C145" s="847">
        <v>20</v>
      </c>
      <c r="D145" s="634">
        <f>IF('Terms of Use'!$L$34=0,(V145+(V145*$L$71)),(V145+(V145*$L$71-0.55)))</f>
        <v>9.85897435897436</v>
      </c>
      <c r="E145" s="978"/>
      <c r="F145" s="978"/>
      <c r="G145" s="466"/>
      <c r="H145" s="764"/>
      <c r="I145" s="764"/>
      <c r="J145" s="764"/>
      <c r="K145" s="768"/>
      <c r="L145" s="768"/>
      <c r="M145" s="768"/>
      <c r="N145" s="768"/>
      <c r="O145" s="768"/>
      <c r="P145" s="768"/>
      <c r="Q145" s="764"/>
      <c r="R145" s="765"/>
      <c r="S145" s="776"/>
      <c r="T145" s="1036" t="s">
        <v>6</v>
      </c>
      <c r="U145" s="843">
        <v>20</v>
      </c>
      <c r="V145" s="434">
        <f t="shared" si="1"/>
        <v>9.85897435897436</v>
      </c>
      <c r="W145" s="776"/>
      <c r="X145" s="958"/>
      <c r="Y145" s="776"/>
      <c r="Z145" s="776"/>
      <c r="AA145" s="766"/>
      <c r="AB145" s="776"/>
      <c r="AC145" s="800"/>
      <c r="AD145" s="941"/>
      <c r="AE145" s="767"/>
      <c r="AF145" s="767"/>
      <c r="AG145" s="767"/>
      <c r="AH145" s="767"/>
      <c r="AI145" s="10"/>
    </row>
    <row r="146" spans="1:35" ht="15.75">
      <c r="A146" s="10"/>
      <c r="B146" s="1033" t="s">
        <v>6</v>
      </c>
      <c r="C146" s="847">
        <v>21</v>
      </c>
      <c r="D146" s="634">
        <f>IF('Terms of Use'!$L$34=0,(V146+(V146*$L$71)),(V146+(V146*$L$71-0.55)))</f>
        <v>10.185897435897436</v>
      </c>
      <c r="E146" s="1050"/>
      <c r="F146" s="978"/>
      <c r="G146" s="466"/>
      <c r="H146" s="764"/>
      <c r="I146" s="764"/>
      <c r="J146" s="764"/>
      <c r="K146" s="768"/>
      <c r="L146" s="768"/>
      <c r="M146" s="768"/>
      <c r="N146" s="768"/>
      <c r="O146" s="768"/>
      <c r="P146" s="768"/>
      <c r="Q146" s="764"/>
      <c r="R146" s="765"/>
      <c r="S146" s="776"/>
      <c r="T146" s="1036" t="s">
        <v>6</v>
      </c>
      <c r="U146" s="843">
        <v>21</v>
      </c>
      <c r="V146" s="434">
        <f t="shared" si="1"/>
        <v>10.185897435897436</v>
      </c>
      <c r="W146" s="776"/>
      <c r="X146" s="958"/>
      <c r="Y146" s="776"/>
      <c r="Z146" s="776"/>
      <c r="AA146" s="766"/>
      <c r="AB146" s="776"/>
      <c r="AC146" s="800"/>
      <c r="AD146" s="941"/>
      <c r="AE146" s="767"/>
      <c r="AF146" s="767"/>
      <c r="AG146" s="767"/>
      <c r="AH146" s="767"/>
      <c r="AI146" s="10"/>
    </row>
    <row r="147" spans="1:35" ht="15.75">
      <c r="A147" s="10"/>
      <c r="B147" s="1033" t="s">
        <v>6</v>
      </c>
      <c r="C147" s="847">
        <v>22</v>
      </c>
      <c r="D147" s="634">
        <f>IF('Terms of Use'!$L$34=0,(V147+(V147*$L$71)),(V147+(V147*$L$71-0.55)))</f>
        <v>10.427884615384615</v>
      </c>
      <c r="E147" s="1050"/>
      <c r="F147" s="978"/>
      <c r="G147" s="466"/>
      <c r="H147" s="764"/>
      <c r="I147" s="764"/>
      <c r="J147" s="764"/>
      <c r="K147" s="768"/>
      <c r="L147" s="768"/>
      <c r="M147" s="768"/>
      <c r="N147" s="768"/>
      <c r="O147" s="768"/>
      <c r="P147" s="768"/>
      <c r="Q147" s="764"/>
      <c r="R147" s="765"/>
      <c r="S147" s="776"/>
      <c r="T147" s="1036" t="s">
        <v>6</v>
      </c>
      <c r="U147" s="843">
        <v>22</v>
      </c>
      <c r="V147" s="434">
        <f t="shared" si="1"/>
        <v>10.427884615384615</v>
      </c>
      <c r="W147" s="776"/>
      <c r="X147" s="958"/>
      <c r="Y147" s="776"/>
      <c r="Z147" s="776"/>
      <c r="AA147" s="766"/>
      <c r="AB147" s="776"/>
      <c r="AC147" s="800"/>
      <c r="AD147" s="941"/>
      <c r="AE147" s="767"/>
      <c r="AF147" s="767"/>
      <c r="AG147" s="767"/>
      <c r="AH147" s="767"/>
      <c r="AI147" s="10"/>
    </row>
    <row r="148" spans="1:35" ht="15.75">
      <c r="A148" s="10"/>
      <c r="B148" s="1033" t="s">
        <v>6</v>
      </c>
      <c r="C148" s="847">
        <v>23</v>
      </c>
      <c r="D148" s="634">
        <f>IF('Terms of Use'!$L$34=0,(V148+(V148*$L$71)),(V148+(V148*$L$71-0.55)))</f>
        <v>10.711538461538462</v>
      </c>
      <c r="E148" s="1050"/>
      <c r="F148" s="978"/>
      <c r="G148" s="466"/>
      <c r="H148" s="764"/>
      <c r="I148" s="764"/>
      <c r="J148" s="764"/>
      <c r="K148" s="768"/>
      <c r="L148" s="768"/>
      <c r="M148" s="768"/>
      <c r="N148" s="768"/>
      <c r="O148" s="768"/>
      <c r="P148" s="768"/>
      <c r="Q148" s="764"/>
      <c r="R148" s="765"/>
      <c r="S148" s="776"/>
      <c r="T148" s="1036" t="s">
        <v>6</v>
      </c>
      <c r="U148" s="843">
        <v>23</v>
      </c>
      <c r="V148" s="434">
        <f t="shared" si="1"/>
        <v>10.711538461538462</v>
      </c>
      <c r="W148" s="776"/>
      <c r="X148" s="958"/>
      <c r="Y148" s="776"/>
      <c r="Z148" s="776"/>
      <c r="AA148" s="766"/>
      <c r="AB148" s="776"/>
      <c r="AC148" s="800"/>
      <c r="AD148" s="941"/>
      <c r="AE148" s="767"/>
      <c r="AF148" s="767"/>
      <c r="AG148" s="767"/>
      <c r="AH148" s="767"/>
      <c r="AI148" s="10"/>
    </row>
    <row r="149" spans="1:35" ht="15.75">
      <c r="A149" s="10"/>
      <c r="B149" s="1033" t="s">
        <v>6</v>
      </c>
      <c r="C149" s="847">
        <v>24</v>
      </c>
      <c r="D149" s="634">
        <f>IF('Terms of Use'!$L$34=0,(V149+(V149*$L$71)),(V149+(V149*$L$71-0.55)))</f>
        <v>11.030448717948717</v>
      </c>
      <c r="E149" s="1050"/>
      <c r="F149" s="978"/>
      <c r="G149" s="466"/>
      <c r="H149" s="764"/>
      <c r="I149" s="764"/>
      <c r="J149" s="764"/>
      <c r="K149" s="768"/>
      <c r="L149" s="768"/>
      <c r="M149" s="768"/>
      <c r="N149" s="768"/>
      <c r="O149" s="768"/>
      <c r="P149" s="768"/>
      <c r="Q149" s="764"/>
      <c r="R149" s="765"/>
      <c r="S149" s="776"/>
      <c r="T149" s="1036" t="s">
        <v>6</v>
      </c>
      <c r="U149" s="843">
        <v>24</v>
      </c>
      <c r="V149" s="434">
        <f t="shared" si="1"/>
        <v>11.030448717948717</v>
      </c>
      <c r="W149" s="776"/>
      <c r="X149" s="958"/>
      <c r="Y149" s="776"/>
      <c r="Z149" s="776"/>
      <c r="AA149" s="766"/>
      <c r="AB149" s="776"/>
      <c r="AC149" s="800"/>
      <c r="AD149" s="941"/>
      <c r="AE149" s="767"/>
      <c r="AF149" s="767"/>
      <c r="AG149" s="767"/>
      <c r="AH149" s="767"/>
      <c r="AI149" s="10"/>
    </row>
    <row r="150" spans="1:35" ht="15.75">
      <c r="A150" s="10"/>
      <c r="B150" s="1033" t="s">
        <v>6</v>
      </c>
      <c r="C150" s="847">
        <v>25</v>
      </c>
      <c r="D150" s="634">
        <f>IF('Terms of Use'!$L$34=0,(V150+(V150*$L$71)),(V150+(V150*$L$71-0.55)))</f>
        <v>11.35576923076923</v>
      </c>
      <c r="E150" s="1050"/>
      <c r="F150" s="978"/>
      <c r="G150" s="466"/>
      <c r="H150" s="764"/>
      <c r="I150" s="764"/>
      <c r="J150" s="764"/>
      <c r="K150" s="768"/>
      <c r="L150" s="768"/>
      <c r="M150" s="768"/>
      <c r="N150" s="768"/>
      <c r="O150" s="768"/>
      <c r="P150" s="768"/>
      <c r="Q150" s="764"/>
      <c r="R150" s="765"/>
      <c r="S150" s="776"/>
      <c r="T150" s="1036" t="s">
        <v>6</v>
      </c>
      <c r="U150" s="843">
        <v>25</v>
      </c>
      <c r="V150" s="434">
        <f t="shared" si="1"/>
        <v>11.35576923076923</v>
      </c>
      <c r="W150" s="776"/>
      <c r="X150" s="958"/>
      <c r="Y150" s="776"/>
      <c r="Z150" s="776"/>
      <c r="AA150" s="766"/>
      <c r="AB150" s="776"/>
      <c r="AC150" s="800"/>
      <c r="AD150" s="941"/>
      <c r="AE150" s="767"/>
      <c r="AF150" s="767"/>
      <c r="AG150" s="767"/>
      <c r="AH150" s="767"/>
      <c r="AI150" s="10"/>
    </row>
    <row r="151" spans="1:35" ht="15.75">
      <c r="A151" s="10"/>
      <c r="B151" s="1033" t="s">
        <v>6</v>
      </c>
      <c r="C151" s="847">
        <v>26</v>
      </c>
      <c r="D151" s="634">
        <f>IF('Terms of Use'!$L$34=0,(V151+(V151*$L$71)),(V151+(V151*$L$71-0.55)))</f>
        <v>11.695512820512821</v>
      </c>
      <c r="E151" s="1050"/>
      <c r="F151" s="978"/>
      <c r="G151" s="466"/>
      <c r="H151" s="764"/>
      <c r="I151" s="764"/>
      <c r="J151" s="764"/>
      <c r="K151" s="768"/>
      <c r="L151" s="768"/>
      <c r="M151" s="768"/>
      <c r="N151" s="768"/>
      <c r="O151" s="768"/>
      <c r="P151" s="768"/>
      <c r="Q151" s="764"/>
      <c r="R151" s="765"/>
      <c r="S151" s="776"/>
      <c r="T151" s="1036" t="s">
        <v>6</v>
      </c>
      <c r="U151" s="843">
        <v>26</v>
      </c>
      <c r="V151" s="434">
        <f t="shared" si="1"/>
        <v>11.695512820512821</v>
      </c>
      <c r="W151" s="776"/>
      <c r="X151" s="958"/>
      <c r="Y151" s="776"/>
      <c r="Z151" s="776"/>
      <c r="AA151" s="766"/>
      <c r="AB151" s="776"/>
      <c r="AC151" s="800"/>
      <c r="AD151" s="941"/>
      <c r="AE151" s="767"/>
      <c r="AF151" s="767"/>
      <c r="AG151" s="767"/>
      <c r="AH151" s="767"/>
      <c r="AI151" s="10"/>
    </row>
    <row r="152" spans="1:35" ht="15.75">
      <c r="A152" s="10"/>
      <c r="B152" s="1033" t="s">
        <v>6</v>
      </c>
      <c r="C152" s="847">
        <v>27</v>
      </c>
      <c r="D152" s="634">
        <f>IF('Terms of Use'!$L$34=0,(V152+(V152*$L$71)),(V152+(V152*$L$71-0.55)))</f>
        <v>12.056089743589743</v>
      </c>
      <c r="E152" s="1050"/>
      <c r="F152" s="978"/>
      <c r="G152" s="466"/>
      <c r="H152" s="764"/>
      <c r="I152" s="764"/>
      <c r="J152" s="764"/>
      <c r="K152" s="768"/>
      <c r="L152" s="768"/>
      <c r="M152" s="768"/>
      <c r="N152" s="768"/>
      <c r="O152" s="768"/>
      <c r="P152" s="768"/>
      <c r="Q152" s="764"/>
      <c r="R152" s="765"/>
      <c r="S152" s="776"/>
      <c r="T152" s="1036" t="s">
        <v>6</v>
      </c>
      <c r="U152" s="843">
        <v>27</v>
      </c>
      <c r="V152" s="434">
        <f t="shared" si="1"/>
        <v>12.056089743589743</v>
      </c>
      <c r="W152" s="776"/>
      <c r="X152" s="958"/>
      <c r="Y152" s="776"/>
      <c r="Z152" s="776"/>
      <c r="AA152" s="766"/>
      <c r="AB152" s="776"/>
      <c r="AC152" s="800"/>
      <c r="AD152" s="941"/>
      <c r="AE152" s="767"/>
      <c r="AF152" s="767"/>
      <c r="AG152" s="767"/>
      <c r="AH152" s="767"/>
      <c r="AI152" s="10"/>
    </row>
    <row r="153" spans="1:35" ht="15.75">
      <c r="A153" s="10"/>
      <c r="B153" s="1033" t="s">
        <v>6</v>
      </c>
      <c r="C153" s="847">
        <v>28</v>
      </c>
      <c r="D153" s="634">
        <f>IF('Terms of Use'!$L$34=0,(V153+(V153*$L$71)),(V153+(V153*$L$71-0.55)))</f>
        <v>12.419871794871796</v>
      </c>
      <c r="E153" s="1050"/>
      <c r="F153" s="978"/>
      <c r="G153" s="466"/>
      <c r="H153" s="764"/>
      <c r="I153" s="764"/>
      <c r="J153" s="764"/>
      <c r="K153" s="768"/>
      <c r="L153" s="768"/>
      <c r="M153" s="768"/>
      <c r="N153" s="768"/>
      <c r="O153" s="768"/>
      <c r="P153" s="768"/>
      <c r="Q153" s="764"/>
      <c r="R153" s="765"/>
      <c r="S153" s="776"/>
      <c r="T153" s="1036" t="s">
        <v>6</v>
      </c>
      <c r="U153" s="843">
        <v>28</v>
      </c>
      <c r="V153" s="434">
        <f t="shared" si="1"/>
        <v>12.419871794871796</v>
      </c>
      <c r="W153" s="776"/>
      <c r="X153" s="958"/>
      <c r="Y153" s="776"/>
      <c r="Z153" s="776"/>
      <c r="AA153" s="766"/>
      <c r="AB153" s="776"/>
      <c r="AC153" s="800"/>
      <c r="AD153" s="941"/>
      <c r="AE153" s="767"/>
      <c r="AF153" s="767"/>
      <c r="AG153" s="767"/>
      <c r="AH153" s="767"/>
      <c r="AI153" s="10"/>
    </row>
    <row r="154" spans="1:35" ht="15.75">
      <c r="A154" s="10"/>
      <c r="B154" s="1033" t="s">
        <v>6</v>
      </c>
      <c r="C154" s="847">
        <v>29</v>
      </c>
      <c r="D154" s="634">
        <f>IF('Terms of Use'!$L$34=0,(V154+(V154*$L$71)),(V154+(V154*$L$71-0.55)))</f>
        <v>12.881410256410257</v>
      </c>
      <c r="E154" s="1050"/>
      <c r="F154" s="978"/>
      <c r="G154" s="466"/>
      <c r="H154" s="764"/>
      <c r="I154" s="764"/>
      <c r="J154" s="764"/>
      <c r="K154" s="768"/>
      <c r="L154" s="768"/>
      <c r="M154" s="768"/>
      <c r="N154" s="768"/>
      <c r="O154" s="768"/>
      <c r="P154" s="768"/>
      <c r="Q154" s="764"/>
      <c r="R154" s="765"/>
      <c r="S154" s="776"/>
      <c r="T154" s="1036" t="s">
        <v>6</v>
      </c>
      <c r="U154" s="843">
        <v>29</v>
      </c>
      <c r="V154" s="434">
        <f t="shared" si="1"/>
        <v>12.881410256410257</v>
      </c>
      <c r="W154" s="776"/>
      <c r="X154" s="958"/>
      <c r="Y154" s="776"/>
      <c r="Z154" s="776"/>
      <c r="AA154" s="766"/>
      <c r="AB154" s="776"/>
      <c r="AC154" s="800"/>
      <c r="AD154" s="941"/>
      <c r="AE154" s="767"/>
      <c r="AF154" s="767"/>
      <c r="AG154" s="767"/>
      <c r="AH154" s="767"/>
      <c r="AI154" s="10"/>
    </row>
    <row r="155" spans="1:35" ht="15.75">
      <c r="A155" s="10"/>
      <c r="B155" s="1033" t="s">
        <v>6</v>
      </c>
      <c r="C155" s="847">
        <v>30</v>
      </c>
      <c r="D155" s="634">
        <f>IF('Terms of Use'!$L$34=0,(V155+(V155*$L$71)),(V155+(V155*$L$71-0.55)))</f>
        <v>13.283653846153847</v>
      </c>
      <c r="E155" s="1050"/>
      <c r="F155" s="978"/>
      <c r="G155" s="466"/>
      <c r="H155" s="764"/>
      <c r="I155" s="764"/>
      <c r="J155" s="764"/>
      <c r="K155" s="768"/>
      <c r="L155" s="768"/>
      <c r="M155" s="768"/>
      <c r="N155" s="768"/>
      <c r="O155" s="768"/>
      <c r="P155" s="768"/>
      <c r="Q155" s="764"/>
      <c r="R155" s="765"/>
      <c r="S155" s="776"/>
      <c r="T155" s="1036" t="s">
        <v>6</v>
      </c>
      <c r="U155" s="843">
        <v>30</v>
      </c>
      <c r="V155" s="434">
        <f t="shared" si="1"/>
        <v>13.283653846153847</v>
      </c>
      <c r="W155" s="776"/>
      <c r="X155" s="958"/>
      <c r="Y155" s="776"/>
      <c r="Z155" s="776"/>
      <c r="AA155" s="766"/>
      <c r="AB155" s="776"/>
      <c r="AC155" s="800"/>
      <c r="AD155" s="941"/>
      <c r="AE155" s="767"/>
      <c r="AF155" s="767"/>
      <c r="AG155" s="767"/>
      <c r="AH155" s="767"/>
      <c r="AI155" s="10"/>
    </row>
    <row r="156" spans="1:35" ht="15.75">
      <c r="A156" s="10"/>
      <c r="B156" s="1033" t="s">
        <v>6</v>
      </c>
      <c r="C156" s="847">
        <v>31</v>
      </c>
      <c r="D156" s="634">
        <f>IF('Terms of Use'!$L$34=0,(V156+(V156*$L$71)),(V156+(V156*$L$71-0.55)))</f>
        <v>13.676282051282051</v>
      </c>
      <c r="E156" s="1050"/>
      <c r="F156" s="978"/>
      <c r="G156" s="466"/>
      <c r="H156" s="764"/>
      <c r="I156" s="764"/>
      <c r="J156" s="764"/>
      <c r="K156" s="768"/>
      <c r="L156" s="768"/>
      <c r="M156" s="768"/>
      <c r="N156" s="768"/>
      <c r="O156" s="768"/>
      <c r="P156" s="768"/>
      <c r="Q156" s="764"/>
      <c r="R156" s="765"/>
      <c r="S156" s="776"/>
      <c r="T156" s="1036" t="s">
        <v>6</v>
      </c>
      <c r="U156" s="843">
        <v>31</v>
      </c>
      <c r="V156" s="434">
        <f t="shared" si="1"/>
        <v>13.676282051282051</v>
      </c>
      <c r="W156" s="776"/>
      <c r="X156" s="958"/>
      <c r="Y156" s="776"/>
      <c r="Z156" s="776"/>
      <c r="AA156" s="766"/>
      <c r="AB156" s="776"/>
      <c r="AC156" s="800"/>
      <c r="AD156" s="941"/>
      <c r="AE156" s="767"/>
      <c r="AF156" s="767"/>
      <c r="AG156" s="767"/>
      <c r="AH156" s="767"/>
      <c r="AI156" s="10"/>
    </row>
    <row r="157" spans="1:35" ht="15.75">
      <c r="A157" s="10"/>
      <c r="B157" s="1033" t="s">
        <v>6</v>
      </c>
      <c r="C157" s="847">
        <v>32</v>
      </c>
      <c r="D157" s="634">
        <f>IF('Terms of Use'!$L$34=0,(V157+(V157*$L$71)),(V157+(V157*$L$71-0.55)))</f>
        <v>14.052884615384615</v>
      </c>
      <c r="E157" s="1050"/>
      <c r="F157" s="978"/>
      <c r="G157" s="466"/>
      <c r="H157" s="764"/>
      <c r="I157" s="764"/>
      <c r="J157" s="764"/>
      <c r="K157" s="768"/>
      <c r="L157" s="768"/>
      <c r="M157" s="768"/>
      <c r="N157" s="768"/>
      <c r="O157" s="768"/>
      <c r="P157" s="768"/>
      <c r="Q157" s="764"/>
      <c r="R157" s="765"/>
      <c r="S157" s="776"/>
      <c r="T157" s="1036" t="s">
        <v>6</v>
      </c>
      <c r="U157" s="843">
        <v>32</v>
      </c>
      <c r="V157" s="434">
        <f t="shared" si="1"/>
        <v>14.052884615384615</v>
      </c>
      <c r="W157" s="776"/>
      <c r="X157" s="958"/>
      <c r="Y157" s="776"/>
      <c r="Z157" s="776"/>
      <c r="AA157" s="766"/>
      <c r="AB157" s="776"/>
      <c r="AC157" s="800"/>
      <c r="AD157" s="941"/>
      <c r="AE157" s="767"/>
      <c r="AF157" s="767"/>
      <c r="AG157" s="767"/>
      <c r="AH157" s="767"/>
      <c r="AI157" s="10"/>
    </row>
    <row r="158" spans="1:35" ht="15.75">
      <c r="A158" s="10"/>
      <c r="B158" s="1033" t="s">
        <v>6</v>
      </c>
      <c r="C158" s="847">
        <v>33</v>
      </c>
      <c r="D158" s="634">
        <f>IF('Terms of Use'!$L$34=0,(V158+(V158*$L$71)),(V158+(V158*$L$71-0.55)))</f>
        <v>14.442307692307692</v>
      </c>
      <c r="E158" s="1050"/>
      <c r="F158" s="978"/>
      <c r="G158" s="466"/>
      <c r="H158" s="764"/>
      <c r="I158" s="764"/>
      <c r="J158" s="764"/>
      <c r="K158" s="768"/>
      <c r="L158" s="768"/>
      <c r="M158" s="768"/>
      <c r="N158" s="768"/>
      <c r="O158" s="768"/>
      <c r="P158" s="768"/>
      <c r="Q158" s="764"/>
      <c r="R158" s="765"/>
      <c r="S158" s="776"/>
      <c r="T158" s="1036" t="s">
        <v>6</v>
      </c>
      <c r="U158" s="843">
        <v>33</v>
      </c>
      <c r="V158" s="434">
        <f t="shared" si="1"/>
        <v>14.442307692307692</v>
      </c>
      <c r="W158" s="776"/>
      <c r="X158" s="958"/>
      <c r="Y158" s="776"/>
      <c r="Z158" s="776"/>
      <c r="AA158" s="766"/>
      <c r="AB158" s="776"/>
      <c r="AC158" s="800"/>
      <c r="AD158" s="941"/>
      <c r="AE158" s="767"/>
      <c r="AF158" s="767"/>
      <c r="AG158" s="767"/>
      <c r="AH158" s="767"/>
      <c r="AI158" s="10"/>
    </row>
    <row r="159" spans="1:35" ht="15.75">
      <c r="A159" s="10"/>
      <c r="B159" s="1033" t="s">
        <v>6</v>
      </c>
      <c r="C159" s="847">
        <v>34</v>
      </c>
      <c r="D159" s="634">
        <f>IF('Terms of Use'!$L$34=0,(V159+(V159*$L$71)),(V159+(V159*$L$71-0.55)))</f>
        <v>14.82852564102564</v>
      </c>
      <c r="E159" s="1050"/>
      <c r="F159" s="978"/>
      <c r="G159" s="466"/>
      <c r="H159" s="764"/>
      <c r="I159" s="764"/>
      <c r="J159" s="764"/>
      <c r="K159" s="768"/>
      <c r="L159" s="768"/>
      <c r="M159" s="768"/>
      <c r="N159" s="768"/>
      <c r="O159" s="768"/>
      <c r="P159" s="768"/>
      <c r="Q159" s="764"/>
      <c r="R159" s="765"/>
      <c r="S159" s="776"/>
      <c r="T159" s="1036" t="s">
        <v>6</v>
      </c>
      <c r="U159" s="843">
        <v>34</v>
      </c>
      <c r="V159" s="434">
        <f t="shared" si="1"/>
        <v>14.82852564102564</v>
      </c>
      <c r="W159" s="776"/>
      <c r="X159" s="958"/>
      <c r="Y159" s="776"/>
      <c r="Z159" s="776"/>
      <c r="AA159" s="766"/>
      <c r="AB159" s="776"/>
      <c r="AC159" s="800"/>
      <c r="AD159" s="941"/>
      <c r="AE159" s="767"/>
      <c r="AF159" s="767"/>
      <c r="AG159" s="767"/>
      <c r="AH159" s="767"/>
      <c r="AI159" s="10"/>
    </row>
    <row r="160" spans="1:35" ht="15.75">
      <c r="A160" s="10"/>
      <c r="B160" s="1006"/>
      <c r="C160" s="929"/>
      <c r="D160" s="927"/>
      <c r="E160" s="469"/>
      <c r="F160" s="978"/>
      <c r="G160" s="469"/>
      <c r="H160" s="764"/>
      <c r="I160" s="764"/>
      <c r="J160" s="764"/>
      <c r="K160" s="768"/>
      <c r="L160" s="768"/>
      <c r="M160" s="768"/>
      <c r="N160" s="768"/>
      <c r="O160" s="768"/>
      <c r="P160" s="768"/>
      <c r="Q160" s="764"/>
      <c r="R160" s="765"/>
      <c r="S160" s="776"/>
      <c r="T160" s="829"/>
      <c r="U160" s="1051"/>
      <c r="V160" s="933"/>
      <c r="W160" s="776"/>
      <c r="X160" s="958"/>
      <c r="Y160" s="776"/>
      <c r="Z160" s="776"/>
      <c r="AA160" s="766"/>
      <c r="AB160" s="776"/>
      <c r="AC160" s="800"/>
      <c r="AD160" s="941"/>
      <c r="AE160" s="767"/>
      <c r="AF160" s="767"/>
      <c r="AG160" s="767"/>
      <c r="AH160" s="767"/>
      <c r="AI160" s="10"/>
    </row>
    <row r="161" spans="1:35" ht="15">
      <c r="A161" s="10"/>
      <c r="B161" s="1052"/>
      <c r="C161" s="1052"/>
      <c r="D161" s="1052"/>
      <c r="E161" s="1052"/>
      <c r="F161" s="1052"/>
      <c r="G161" s="1052"/>
      <c r="H161" s="1052"/>
      <c r="I161" s="1052"/>
      <c r="J161" s="1052"/>
      <c r="K161" s="1052"/>
      <c r="L161" s="1052"/>
      <c r="M161" s="1052"/>
      <c r="N161" s="1052"/>
      <c r="O161" s="1052"/>
      <c r="P161" s="1052"/>
      <c r="Q161" s="1052"/>
      <c r="R161" s="1052"/>
      <c r="S161" s="1052"/>
      <c r="T161" s="1052"/>
      <c r="U161" s="1052"/>
      <c r="V161" s="1052"/>
      <c r="W161" s="1052"/>
      <c r="X161" s="1052"/>
      <c r="Y161" s="1052"/>
      <c r="Z161" s="1052"/>
      <c r="AA161" s="767"/>
      <c r="AB161" s="767"/>
      <c r="AC161" s="767"/>
      <c r="AD161" s="767"/>
      <c r="AE161" s="767"/>
      <c r="AF161" s="767"/>
      <c r="AG161" s="767"/>
      <c r="AH161" s="767"/>
      <c r="AI161" s="10"/>
    </row>
    <row r="162" spans="1:35" ht="15">
      <c r="A162" s="10"/>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0"/>
      <c r="AB162" s="10"/>
      <c r="AC162" s="10"/>
      <c r="AD162" s="10"/>
      <c r="AE162" s="10"/>
      <c r="AF162" s="10"/>
      <c r="AG162" s="10"/>
      <c r="AH162" s="10"/>
      <c r="AI162" s="10"/>
    </row>
    <row r="163" spans="1:35" ht="15">
      <c r="A163" s="10"/>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0"/>
      <c r="AB163" s="10"/>
      <c r="AC163" s="10"/>
      <c r="AD163" s="10"/>
      <c r="AE163" s="10"/>
      <c r="AF163" s="10"/>
      <c r="AG163" s="10"/>
      <c r="AH163" s="10"/>
      <c r="AI163" s="10"/>
    </row>
    <row r="164" spans="1:35" ht="15">
      <c r="A164" s="10"/>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0"/>
      <c r="AB164" s="10"/>
      <c r="AC164" s="10"/>
      <c r="AD164" s="10"/>
      <c r="AE164" s="10"/>
      <c r="AF164" s="10"/>
      <c r="AG164" s="10"/>
      <c r="AH164" s="10"/>
      <c r="AI164" s="10"/>
    </row>
    <row r="165" spans="1:35" ht="15">
      <c r="A165" s="10"/>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0"/>
      <c r="AB165" s="10"/>
      <c r="AC165" s="10"/>
      <c r="AD165" s="10"/>
      <c r="AE165" s="10"/>
      <c r="AF165" s="10"/>
      <c r="AG165" s="10"/>
      <c r="AH165" s="10"/>
      <c r="AI165" s="10"/>
    </row>
    <row r="166" spans="1:35" ht="15">
      <c r="A166" s="10"/>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0"/>
      <c r="AB166" s="10"/>
      <c r="AC166" s="10"/>
      <c r="AD166" s="10"/>
      <c r="AE166" s="10"/>
      <c r="AF166" s="10"/>
      <c r="AG166" s="10"/>
      <c r="AH166" s="10"/>
      <c r="AI166" s="10"/>
    </row>
    <row r="167" spans="1:35" ht="15">
      <c r="A167" s="10"/>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0"/>
      <c r="AB167" s="10"/>
      <c r="AC167" s="10"/>
      <c r="AD167" s="10"/>
      <c r="AE167" s="10"/>
      <c r="AF167" s="10"/>
      <c r="AG167" s="10"/>
      <c r="AH167" s="10"/>
      <c r="AI167" s="10"/>
    </row>
    <row r="168" spans="1:35" ht="15">
      <c r="A168" s="10"/>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0"/>
      <c r="AB168" s="10"/>
      <c r="AC168" s="10"/>
      <c r="AD168" s="10"/>
      <c r="AE168" s="10"/>
      <c r="AF168" s="10"/>
      <c r="AG168" s="10"/>
      <c r="AH168" s="10"/>
      <c r="AI168" s="10"/>
    </row>
    <row r="169" spans="1:35" ht="15">
      <c r="A169" s="10"/>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0"/>
      <c r="AB169" s="10"/>
      <c r="AC169" s="10"/>
      <c r="AD169" s="10"/>
      <c r="AE169" s="10"/>
      <c r="AF169" s="10"/>
      <c r="AG169" s="10"/>
      <c r="AH169" s="10"/>
      <c r="AI169" s="10"/>
    </row>
    <row r="170" spans="1:35" ht="15">
      <c r="A170" s="10"/>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0"/>
      <c r="AB170" s="10"/>
      <c r="AC170" s="10"/>
      <c r="AD170" s="10"/>
      <c r="AE170" s="10"/>
      <c r="AF170" s="10"/>
      <c r="AG170" s="10"/>
      <c r="AH170" s="10"/>
      <c r="AI170" s="10"/>
    </row>
    <row r="171" spans="1:35" ht="15">
      <c r="A171" s="10"/>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0"/>
      <c r="AB171" s="10"/>
      <c r="AC171" s="10"/>
      <c r="AD171" s="10"/>
      <c r="AE171" s="10"/>
      <c r="AF171" s="10"/>
      <c r="AG171" s="10"/>
      <c r="AH171" s="10"/>
      <c r="AI171" s="10"/>
    </row>
    <row r="172" spans="1:35" ht="15">
      <c r="A172" s="10"/>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0"/>
      <c r="AB172" s="10"/>
      <c r="AC172" s="10"/>
      <c r="AD172" s="10"/>
      <c r="AE172" s="10"/>
      <c r="AF172" s="10"/>
      <c r="AG172" s="10"/>
      <c r="AH172" s="10"/>
      <c r="AI172" s="10"/>
    </row>
    <row r="173" spans="1:35" ht="15">
      <c r="A173" s="10"/>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0"/>
      <c r="AB173" s="10"/>
      <c r="AC173" s="10"/>
      <c r="AD173" s="10"/>
      <c r="AE173" s="10"/>
      <c r="AF173" s="10"/>
      <c r="AG173" s="10"/>
      <c r="AH173" s="10"/>
      <c r="AI173" s="10"/>
    </row>
    <row r="174" spans="1:35" ht="15">
      <c r="A174" s="10"/>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0"/>
      <c r="AB174" s="10"/>
      <c r="AC174" s="10"/>
      <c r="AD174" s="10"/>
      <c r="AE174" s="10"/>
      <c r="AF174" s="10"/>
      <c r="AG174" s="10"/>
      <c r="AH174" s="10"/>
      <c r="AI174" s="10"/>
    </row>
    <row r="175" spans="1:35" ht="15">
      <c r="A175" s="10"/>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0"/>
      <c r="AB175" s="10"/>
      <c r="AC175" s="10"/>
      <c r="AD175" s="10"/>
      <c r="AE175" s="10"/>
      <c r="AF175" s="10"/>
      <c r="AG175" s="10"/>
      <c r="AH175" s="10"/>
      <c r="AI175" s="10"/>
    </row>
    <row r="176" spans="1:35" ht="15">
      <c r="A176" s="10"/>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0"/>
      <c r="AB176" s="10"/>
      <c r="AC176" s="10"/>
      <c r="AD176" s="10"/>
      <c r="AE176" s="10"/>
      <c r="AF176" s="10"/>
      <c r="AG176" s="10"/>
      <c r="AH176" s="10"/>
      <c r="AI176" s="10"/>
    </row>
    <row r="177" spans="1:35" ht="15">
      <c r="A177" s="10"/>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0"/>
      <c r="AB177" s="10"/>
      <c r="AC177" s="10"/>
      <c r="AD177" s="10"/>
      <c r="AE177" s="10"/>
      <c r="AF177" s="10"/>
      <c r="AG177" s="10"/>
      <c r="AH177" s="10"/>
      <c r="AI177" s="10"/>
    </row>
    <row r="178" spans="1:35" ht="15">
      <c r="A178" s="10"/>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0"/>
      <c r="AB178" s="10"/>
      <c r="AC178" s="10"/>
      <c r="AD178" s="10"/>
      <c r="AE178" s="10"/>
      <c r="AF178" s="10"/>
      <c r="AG178" s="10"/>
      <c r="AH178" s="10"/>
      <c r="AI178" s="10"/>
    </row>
    <row r="179" spans="1:35" ht="15">
      <c r="A179" s="10"/>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0"/>
      <c r="AB179" s="10"/>
      <c r="AC179" s="10"/>
      <c r="AD179" s="10"/>
      <c r="AE179" s="10"/>
      <c r="AF179" s="10"/>
      <c r="AG179" s="10"/>
      <c r="AH179" s="10"/>
      <c r="AI179" s="10"/>
    </row>
    <row r="180" spans="1:35" ht="15">
      <c r="A180" s="10"/>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0"/>
      <c r="AB180" s="10"/>
      <c r="AC180" s="10"/>
      <c r="AD180" s="10"/>
      <c r="AE180" s="10"/>
      <c r="AF180" s="10"/>
      <c r="AG180" s="10"/>
      <c r="AH180" s="10"/>
      <c r="AI180" s="10"/>
    </row>
    <row r="181" spans="1:35" ht="15">
      <c r="A181" s="10"/>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0"/>
      <c r="AB181" s="10"/>
      <c r="AC181" s="10"/>
      <c r="AD181" s="10"/>
      <c r="AE181" s="10"/>
      <c r="AF181" s="10"/>
      <c r="AG181" s="10"/>
      <c r="AH181" s="10"/>
      <c r="AI181" s="10"/>
    </row>
    <row r="182" spans="1:35" ht="15">
      <c r="A182" s="10"/>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0"/>
      <c r="AB182" s="10"/>
      <c r="AC182" s="10"/>
      <c r="AD182" s="10"/>
      <c r="AE182" s="10"/>
      <c r="AF182" s="10"/>
      <c r="AG182" s="10"/>
      <c r="AH182" s="10"/>
      <c r="AI182" s="10"/>
    </row>
    <row r="183" spans="1:35" ht="15">
      <c r="A183" s="10"/>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0"/>
      <c r="AB183" s="10"/>
      <c r="AC183" s="10"/>
      <c r="AD183" s="10"/>
      <c r="AE183" s="10"/>
      <c r="AF183" s="10"/>
      <c r="AG183" s="10"/>
      <c r="AH183" s="10"/>
      <c r="AI183" s="10"/>
    </row>
    <row r="184" spans="1:35" ht="15">
      <c r="A184" s="10"/>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0"/>
      <c r="AB184" s="10"/>
      <c r="AC184" s="10"/>
      <c r="AD184" s="10"/>
      <c r="AE184" s="10"/>
      <c r="AF184" s="10"/>
      <c r="AG184" s="10"/>
      <c r="AH184" s="10"/>
      <c r="AI184" s="10"/>
    </row>
    <row r="185" spans="1:35" ht="15">
      <c r="A185" s="10"/>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0"/>
      <c r="AB185" s="10"/>
      <c r="AC185" s="10"/>
      <c r="AD185" s="10"/>
      <c r="AE185" s="10"/>
      <c r="AF185" s="10"/>
      <c r="AG185" s="10"/>
      <c r="AH185" s="10"/>
      <c r="AI185" s="10"/>
    </row>
    <row r="186" spans="1:35" ht="15">
      <c r="A186" s="10"/>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0"/>
      <c r="AB186" s="10"/>
      <c r="AC186" s="10"/>
      <c r="AD186" s="10"/>
      <c r="AE186" s="10"/>
      <c r="AF186" s="10"/>
      <c r="AG186" s="10"/>
      <c r="AH186" s="10"/>
      <c r="AI186" s="10"/>
    </row>
    <row r="187" spans="1:35" ht="15">
      <c r="A187" s="10"/>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0"/>
      <c r="AB187" s="10"/>
      <c r="AC187" s="10"/>
      <c r="AD187" s="10"/>
      <c r="AE187" s="10"/>
      <c r="AF187" s="10"/>
      <c r="AG187" s="10"/>
      <c r="AH187" s="10"/>
      <c r="AI187" s="10"/>
    </row>
    <row r="188" spans="1:35" ht="15">
      <c r="A188" s="10"/>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0"/>
      <c r="AB188" s="10"/>
      <c r="AC188" s="10"/>
      <c r="AD188" s="10"/>
      <c r="AE188" s="10"/>
      <c r="AF188" s="10"/>
      <c r="AG188" s="10"/>
      <c r="AH188" s="10"/>
      <c r="AI188" s="10"/>
    </row>
    <row r="189" spans="1:35" ht="15">
      <c r="A189" s="10"/>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0"/>
      <c r="AB189" s="10"/>
      <c r="AC189" s="10"/>
      <c r="AD189" s="10"/>
      <c r="AE189" s="10"/>
      <c r="AF189" s="10"/>
      <c r="AG189" s="10"/>
      <c r="AH189" s="10"/>
      <c r="AI189" s="10"/>
    </row>
    <row r="190" spans="1:35" ht="15">
      <c r="A190" s="10"/>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0"/>
      <c r="AB190" s="10"/>
      <c r="AC190" s="10"/>
      <c r="AD190" s="10"/>
      <c r="AE190" s="10"/>
      <c r="AF190" s="10"/>
      <c r="AG190" s="10"/>
      <c r="AH190" s="10"/>
      <c r="AI190" s="10"/>
    </row>
    <row r="191" spans="1:35" ht="15">
      <c r="A191" s="10"/>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0"/>
      <c r="AB191" s="10"/>
      <c r="AC191" s="10"/>
      <c r="AD191" s="10"/>
      <c r="AE191" s="10"/>
      <c r="AF191" s="10"/>
      <c r="AG191" s="10"/>
      <c r="AH191" s="10"/>
      <c r="AI191" s="10"/>
    </row>
  </sheetData>
  <sheetProtection password="DD49" sheet="1" objects="1" scenarios="1"/>
  <mergeCells count="7">
    <mergeCell ref="C1:D1"/>
    <mergeCell ref="AA121:AC121"/>
    <mergeCell ref="AA144:AC144"/>
    <mergeCell ref="AA47:AC47"/>
    <mergeCell ref="Z68:AB68"/>
    <mergeCell ref="AA80:AC80"/>
    <mergeCell ref="Z91:AB91"/>
  </mergeCells>
  <conditionalFormatting sqref="I74 G69 F12 F9 F68">
    <cfRule type="cellIs" priority="1" dxfId="0" operator="equal" stopIfTrue="1">
      <formula>0</formula>
    </cfRule>
  </conditionalFormatting>
  <dataValidations count="27">
    <dataValidation type="decimal" allowBlank="1" showInputMessage="1" showErrorMessage="1" promptTitle="TEACHERS % PAY RISE" prompt="&#10;Enter the projected percentage pay rise here.&#10;&#10;If the the shaded figures to the right are up to date for the current year this cell should read zero, otherwise it will inflate an already updated salary rate." sqref="J11">
      <formula1>0</formula1>
      <formula2>15</formula2>
    </dataValidation>
    <dataValidation allowBlank="1" showInputMessage="1" showErrorMessage="1" promptTitle="ENTER EFFECTIVE DATE" prompt="&#10;Enter the date these rates of pay are effective from." sqref="D22 U22 X70"/>
    <dataValidation type="custom" allowBlank="1" showInputMessage="1" showErrorMessage="1" promptTitle="AUTOMATIC LINK!" prompt="&#10;This cell contains an automatic link to another cell.&#10;&#10;No user input is required." sqref="AB14 AE14 AE62 AH14 P14 AG62:AG63 AH62">
      <formula1>"NO CHANGE ADVISED"</formula1>
    </dataValidation>
    <dataValidation type="decimal" allowBlank="1" showInputMessage="1" showErrorMessage="1" promptTitle="SUPPORT STAFF % PAY RISE" prompt="&#10;Enter the projected percentage pay rise here.&#10;&#10;If the the shaded figures to the right are up to date for the current year this cell should read zero, otherwise it will inflate an already updated salary rate." sqref="L71">
      <formula1>0</formula1>
      <formula2>15</formula2>
    </dataValidation>
    <dataValidation type="custom" allowBlank="1" showInputMessage="1" showErrorMessage="1" promptTitle="CELL AT WORK!" prompt="&#10;This cell is busy calculating information to be used by other parts of the document.&#10;&#10;No user input is required." sqref="E146:E159">
      <formula1>"NO CHANGE ADVISED"</formula1>
    </dataValidation>
    <dataValidation type="custom" allowBlank="1" showInputMessage="1" showErrorMessage="1" promptTitle="CELL AT WORK!" prompt="&#10;This cell is reading information from a corresponding cell to the right of the red line, and is being inflated by the percentage figure above. This salary value provides information for the staff salary costing pages of the document. NO INPUT REQUIRED." sqref="G60:G61 M89:P89 M100:P100 AG32 M63:P63 N111:P111">
      <formula1>"NO CHANGE ADVISED"</formula1>
    </dataValidation>
    <dataValidation type="custom" allowBlank="1" showInputMessage="1" showErrorMessage="1" promptTitle="CELL AT WORK!" prompt="&#10;This cell is  used by other parts of the document.&#10;&#10;No user input is required." sqref="C27:C61 I18:I21 L18:L57 F71:F122 O17:O26">
      <formula1>"NO CHANGE ADVISED"</formula1>
    </dataValidation>
    <dataValidation type="custom" allowBlank="1" showInputMessage="1" showErrorMessage="1" promptTitle="CELL AT WORK!" prompt="&#10;This cell is used by other parts of the document.&#10;&#10;No user input is required." sqref="U27:U61 X18 W71:W122 AA17:AA21 AD18:AD59">
      <formula1>"NO CHANGE ADVISED"</formula1>
    </dataValidation>
    <dataValidation type="custom" allowBlank="1" showInputMessage="1" showErrorMessage="1" errorTitle="FIXED SYMBOL" sqref="B1:B2 B4:B9 AA144 AA121 AA80 Z91 Z68 AA47 C2:E2">
      <formula1>"NO CHANGE REQUIRED"</formula1>
    </dataValidation>
    <dataValidation type="whole" operator="greaterThanOrEqual" allowBlank="1" showInputMessage="1" showErrorMessage="1" promptTitle="CELL AT WORK!" prompt="&#10;This cell is used by other parts of the documment.&#10;&#10;No user input is required." sqref="F18:F61 X59 X31 X33 X35 X37 X39 X41 X43 X45 X47 X49 X51 X53 X55 X57 X19:X29 AD17">
      <formula1>0</formula1>
    </dataValidation>
    <dataValidation type="whole" operator="greaterThanOrEqual" allowBlank="1" showInputMessage="1" showErrorMessage="1" promptTitle="CELL AT WORK!" prompt="&#10;This cell is  used by other parts of the document.&#10;&#10;No user input is required." sqref="I17 L17">
      <formula1>0</formula1>
    </dataValidation>
    <dataValidation type="custom" allowBlank="1" showInputMessage="1" showErrorMessage="1" errorTitle="COPYRIGHT PROTECTION!" error="&#10;Tampering with this cell puts you in breach of copyright laws.&#10;&#10;Click 'Cancel' to end." sqref="X1:X9 AA3:AA9">
      <formula1>"COPYRIGHT PROTECTION"</formula1>
    </dataValidation>
    <dataValidation allowBlank="1" showInputMessage="1" showErrorMessage="1" promptTitle="ENTER FULL TIME WEEKLY HOURS" prompt="&#10;Enter the number of hours to be worked for FULL TIME staff under this category.&#10;&#10;(Overtype if different from current entry)." sqref="I5:I8"/>
    <dataValidation type="whole" operator="greaterThanOrEqual" allowBlank="1" showInputMessage="1" showErrorMessage="1" promptTitle="ENTER RELEVANT SALARY VALUE" prompt="&#10;Enter the relevant salary value for this allowance here.&#10;&#10;If this value is a previous year value, you can inflate it by entering an appropriate percentage in the space provided to the left of the red line." sqref="AD100 AD89 AE63">
      <formula1>0</formula1>
    </dataValidation>
    <dataValidation allowBlank="1" showInputMessage="1" showErrorMessage="1" promptTitle="APT &amp; C" prompt="&#10;Stands for Administrative, Professional, Technical &amp; Clerical staff." sqref="B69 T69 L93 AC93"/>
    <dataValidation allowBlank="1" showInputMessage="1" showErrorMessage="1" promptTitle="L. Allow." prompt="&#10;Stands for London Allowance - if applicable." sqref="F127 X127"/>
    <dataValidation type="custom" allowBlank="1" showInputMessage="1" showErrorMessage="1" sqref="C129:D147 X133 U129:U147">
      <formula1>"NO CHANGE ADVISED"</formula1>
    </dataValidation>
    <dataValidation type="custom" allowBlank="1" showInputMessage="1" showErrorMessage="1" errorTitle="COPYRIGHT PROTECTION!" error="&#10;Tampering with this cell puts you in breach of copyright laws.&#10;&#10;Click 'Cancel' to end." sqref="AA1:AA2 Q1:Q2">
      <formula1>"COPYRIGHT PROTECTION!"</formula1>
    </dataValidation>
    <dataValidation operator="greaterThanOrEqual" allowBlank="1" showInputMessage="1" showErrorMessage="1" promptTitle="ENTER RELEVANT SALARY VALUE" prompt="&#10;Enter the relevant value for this allowance here." sqref="AD129:AD134"/>
    <dataValidation allowBlank="1" showInputMessage="1" showErrorMessage="1" promptTitle="INFORMATION ONLY" prompt="&#10;Enter the relevant allowance value for information only." sqref="AB41:AB42"/>
    <dataValidation type="custom" allowBlank="1" showInputMessage="1" showErrorMessage="1" sqref="AG17:AG26 J41:J42 D38 G19:G59 M18:N57 J18:J21 J25:J29 J33:J37 P17:P26 O28:P57 D28 D30 D32 D34 D36 G72:G73 G123">
      <formula1>"NO CHANGE"</formula1>
    </dataValidation>
    <dataValidation allowBlank="1" showInputMessage="1" showErrorMessage="1" promptTitle="ENTER SALARY VALUES BELOW" prompt="&#10;Enter the appropriate salary value for each pay spine point in the blue shaded area below.&#10;&#10;If this value is a previous year value you can inflate it by simply entering a % figure in the space provided to the left of the red line." sqref="AH16 AE16 AB16 Y15 V25 X71"/>
    <dataValidation type="whole" allowBlank="1" showInputMessage="1" showErrorMessage="1" sqref="Y18:Y59 AB33:AB37 AE17:AE59 V27:V61 AB17:AB21 AB25:AB29 AH17:AH26">
      <formula1>0</formula1>
      <formula2>900000</formula2>
    </dataValidation>
    <dataValidation type="custom" allowBlank="1" showInputMessage="1" showErrorMessage="1" promptTitle="CELL AT WORK!" prompt="&#10;These cellsare reading information from corresponding cells to the right of the red line, and are being inflated by the percentage figure above. These values provide information for the staff salary costing pages of the document. NO INPUT REQUIRED." sqref="G71 N17">
      <formula1>"COPYRIGHT PROTECTION"</formula1>
    </dataValidation>
    <dataValidation type="custom" allowBlank="1" showInputMessage="1" showErrorMessage="1" promptTitle="CELL AT WORK!" prompt="&#10;These cells are reading information from corresponding cells to the right of the red line, and are being inflated by the percentage figure above. These values provide information for the staff salary costing pages of the document. NO INPUT REQUIRED." sqref="M17 J17 G18 D27 P16">
      <formula1>"COPYRIGHT PROTECTION"</formula1>
    </dataValidation>
    <dataValidation operator="greaterThanOrEqual" allowBlank="1" showInputMessage="1" showErrorMessage="1" promptTitle="ENTER RELEVANT SALARY VALUE" prompt="&#10;Enter the relevant salary value for this allowance here.&#10;&#10;If this value is a previous year value, you can inflate it by entering an appropriate percentage in the space provided to the left of the red line." sqref="AD111"/>
    <dataValidation type="custom" allowBlank="1" showInputMessage="1" showErrorMessage="1" promptTitle="CELL AT WORK!" prompt="&#10;This cell is reading information from a corresponding cell to the right of the red line, and is being inflated by the percentage figure above. This salary value provides information for the staff salary costing pages of the document. NO INPUT REQUIRED." sqref="M111">
      <formula1>"NO CHANGE"</formula1>
    </dataValidation>
  </dataValidations>
  <hyperlinks>
    <hyperlink ref="AA144" location="INDEX!F3" tooltip="GO TO INDEX PAGE" display="GO TO INDEX"/>
    <hyperlink ref="AA121" location="INDEX!F3" tooltip="GO TO INDEX PAGE" display="GO TO INDEX"/>
    <hyperlink ref="Z91" location="INDEX!F3" tooltip="GO TO INDEX PAGE" display="GO TO INDEX"/>
    <hyperlink ref="Z68" location="INDEX!F3" tooltip="GO TO INDEX PAGE" display="GO TO INDEX"/>
    <hyperlink ref="AA47" location="INDEX!F3" tooltip="GO TO INDEX PAGE" display="GO TO INDEX"/>
    <hyperlink ref="L1" location="INDEX!A1" tooltip="Go to Index" display="INDEX"/>
  </hyperlinks>
  <printOptions horizontalCentered="1"/>
  <pageMargins left="0.03937007874015748" right="0.03937007874015748" top="0.15748031496062992" bottom="0.15748031496062992" header="0.5118110236220472" footer="0.5118110236220472"/>
  <pageSetup fitToHeight="1" fitToWidth="1" horizontalDpi="600" verticalDpi="600" orientation="portrait" scale="34" r:id="rId4"/>
  <drawing r:id="rId3"/>
  <legacyDrawing r:id="rId2"/>
</worksheet>
</file>

<file path=xl/worksheets/sheet2.xml><?xml version="1.0" encoding="utf-8"?>
<worksheet xmlns="http://schemas.openxmlformats.org/spreadsheetml/2006/main" xmlns:r="http://schemas.openxmlformats.org/officeDocument/2006/relationships">
  <dimension ref="B1:K35"/>
  <sheetViews>
    <sheetView showRowColHeaders="0" zoomScale="90" zoomScaleNormal="90" workbookViewId="0" topLeftCell="A1">
      <pane ySplit="1" topLeftCell="BM2" activePane="bottomLeft" state="frozen"/>
      <selection pane="topLeft" activeCell="K12" sqref="K12:L12"/>
      <selection pane="bottomLeft" activeCell="A2" sqref="A2"/>
    </sheetView>
  </sheetViews>
  <sheetFormatPr defaultColWidth="8.88671875" defaultRowHeight="15"/>
  <cols>
    <col min="1" max="1" width="2.77734375" style="573" customWidth="1"/>
    <col min="2" max="11" width="10.77734375" style="573" customWidth="1"/>
    <col min="12" max="16384" width="8.88671875" style="573" customWidth="1"/>
  </cols>
  <sheetData>
    <row r="1" ht="30" customHeight="1">
      <c r="B1" s="572"/>
    </row>
    <row r="2" ht="15.75" thickBot="1"/>
    <row r="3" spans="2:11" ht="18">
      <c r="B3" s="1056" t="s">
        <v>244</v>
      </c>
      <c r="C3" s="1057"/>
      <c r="D3" s="1057"/>
      <c r="E3" s="1057"/>
      <c r="F3" s="1057"/>
      <c r="G3" s="1057"/>
      <c r="H3" s="1057"/>
      <c r="I3" s="1057"/>
      <c r="J3" s="1057"/>
      <c r="K3" s="1058"/>
    </row>
    <row r="4" spans="2:11" ht="7.5" customHeight="1">
      <c r="B4" s="584"/>
      <c r="C4" s="585"/>
      <c r="D4" s="585"/>
      <c r="E4" s="585"/>
      <c r="F4" s="1059"/>
      <c r="G4" s="1059"/>
      <c r="H4" s="586"/>
      <c r="I4" s="586"/>
      <c r="J4" s="586"/>
      <c r="K4" s="587"/>
    </row>
    <row r="5" spans="2:11" ht="16.5">
      <c r="B5" s="1060" t="s">
        <v>265</v>
      </c>
      <c r="C5" s="1053"/>
      <c r="D5" s="1053"/>
      <c r="E5" s="1053"/>
      <c r="F5" s="1053"/>
      <c r="G5" s="1053"/>
      <c r="H5" s="1053"/>
      <c r="I5" s="1053"/>
      <c r="J5" s="1053"/>
      <c r="K5" s="1071"/>
    </row>
    <row r="6" spans="2:11" ht="7.5" customHeight="1">
      <c r="B6" s="588"/>
      <c r="C6" s="589"/>
      <c r="D6" s="589"/>
      <c r="E6" s="589"/>
      <c r="F6" s="1072"/>
      <c r="G6" s="1072"/>
      <c r="H6" s="590"/>
      <c r="I6" s="590"/>
      <c r="J6" s="590"/>
      <c r="K6" s="591"/>
    </row>
    <row r="7" spans="2:11" ht="15">
      <c r="B7" s="592"/>
      <c r="C7" s="593"/>
      <c r="D7" s="593"/>
      <c r="E7" s="593"/>
      <c r="F7" s="593"/>
      <c r="G7" s="594"/>
      <c r="H7" s="586"/>
      <c r="I7" s="586"/>
      <c r="J7" s="586"/>
      <c r="K7" s="587"/>
    </row>
    <row r="8" spans="2:11" ht="18">
      <c r="B8" s="1073" t="s">
        <v>283</v>
      </c>
      <c r="C8" s="1074"/>
      <c r="D8" s="1074"/>
      <c r="E8" s="1074"/>
      <c r="F8" s="1074"/>
      <c r="G8" s="1075" t="s">
        <v>270</v>
      </c>
      <c r="H8" s="1074"/>
      <c r="I8" s="1074"/>
      <c r="J8" s="1074"/>
      <c r="K8" s="1076"/>
    </row>
    <row r="9" spans="2:11" ht="9" customHeight="1">
      <c r="B9" s="1077"/>
      <c r="C9" s="1078"/>
      <c r="D9" s="1078"/>
      <c r="E9" s="1078"/>
      <c r="F9" s="1078"/>
      <c r="G9" s="1079"/>
      <c r="H9" s="1080"/>
      <c r="I9" s="1080"/>
      <c r="J9" s="1080"/>
      <c r="K9" s="1081"/>
    </row>
    <row r="10" spans="2:11" ht="16.5">
      <c r="B10" s="1082" t="s">
        <v>267</v>
      </c>
      <c r="C10" s="1083"/>
      <c r="D10" s="1083"/>
      <c r="E10" s="1083"/>
      <c r="F10" s="1084"/>
      <c r="G10" s="1085" t="s">
        <v>271</v>
      </c>
      <c r="H10" s="1086"/>
      <c r="I10" s="1086"/>
      <c r="J10" s="1086"/>
      <c r="K10" s="1087"/>
    </row>
    <row r="11" spans="2:11" ht="9" customHeight="1">
      <c r="B11" s="617"/>
      <c r="C11" s="618"/>
      <c r="D11" s="618"/>
      <c r="E11" s="618"/>
      <c r="F11" s="618"/>
      <c r="G11" s="619"/>
      <c r="H11" s="618"/>
      <c r="I11" s="618"/>
      <c r="J11" s="618"/>
      <c r="K11" s="620"/>
    </row>
    <row r="12" spans="2:11" ht="16.5">
      <c r="B12" s="1088" t="s">
        <v>268</v>
      </c>
      <c r="C12" s="1086"/>
      <c r="D12" s="1086"/>
      <c r="E12" s="1086"/>
      <c r="F12" s="1086"/>
      <c r="G12" s="1085" t="s">
        <v>272</v>
      </c>
      <c r="H12" s="1086"/>
      <c r="I12" s="1086"/>
      <c r="J12" s="1086"/>
      <c r="K12" s="1087"/>
    </row>
    <row r="13" spans="2:11" ht="9" customHeight="1">
      <c r="B13" s="617"/>
      <c r="C13" s="618"/>
      <c r="D13" s="618"/>
      <c r="E13" s="618"/>
      <c r="F13" s="618"/>
      <c r="G13" s="619"/>
      <c r="H13" s="618"/>
      <c r="I13" s="618"/>
      <c r="J13" s="618"/>
      <c r="K13" s="620"/>
    </row>
    <row r="14" spans="2:11" ht="16.5">
      <c r="B14" s="1088" t="s">
        <v>269</v>
      </c>
      <c r="C14" s="1086"/>
      <c r="D14" s="1086"/>
      <c r="E14" s="1086"/>
      <c r="F14" s="1086"/>
      <c r="G14" s="1085" t="s">
        <v>273</v>
      </c>
      <c r="H14" s="1086"/>
      <c r="I14" s="1086"/>
      <c r="J14" s="1086"/>
      <c r="K14" s="1087"/>
    </row>
    <row r="15" spans="2:11" ht="9" customHeight="1">
      <c r="B15" s="617"/>
      <c r="C15" s="618"/>
      <c r="D15" s="618"/>
      <c r="E15" s="618"/>
      <c r="F15" s="618"/>
      <c r="G15" s="619"/>
      <c r="H15" s="618"/>
      <c r="I15" s="618"/>
      <c r="J15" s="618"/>
      <c r="K15" s="620"/>
    </row>
    <row r="16" spans="2:11" ht="16.5">
      <c r="B16" s="1088" t="s">
        <v>266</v>
      </c>
      <c r="C16" s="1086"/>
      <c r="D16" s="1086"/>
      <c r="E16" s="1086"/>
      <c r="F16" s="1086"/>
      <c r="G16" s="1085" t="s">
        <v>276</v>
      </c>
      <c r="H16" s="1086"/>
      <c r="I16" s="1086"/>
      <c r="J16" s="1086"/>
      <c r="K16" s="1087"/>
    </row>
    <row r="17" spans="2:11" ht="9" customHeight="1">
      <c r="B17" s="617"/>
      <c r="C17" s="618"/>
      <c r="D17" s="618"/>
      <c r="E17" s="618"/>
      <c r="F17" s="618"/>
      <c r="G17" s="619"/>
      <c r="H17" s="618"/>
      <c r="I17" s="618"/>
      <c r="J17" s="618"/>
      <c r="K17" s="620"/>
    </row>
    <row r="18" spans="2:11" ht="16.5">
      <c r="B18" s="1088" t="s">
        <v>274</v>
      </c>
      <c r="C18" s="1086"/>
      <c r="D18" s="1086"/>
      <c r="E18" s="1086"/>
      <c r="F18" s="1086"/>
      <c r="G18" s="1085" t="s">
        <v>275</v>
      </c>
      <c r="H18" s="1086"/>
      <c r="I18" s="1086"/>
      <c r="J18" s="1086"/>
      <c r="K18" s="1087"/>
    </row>
    <row r="19" spans="2:11" ht="15">
      <c r="B19" s="596"/>
      <c r="C19" s="597"/>
      <c r="D19" s="597"/>
      <c r="E19" s="597"/>
      <c r="F19" s="597"/>
      <c r="G19" s="595"/>
      <c r="H19" s="598"/>
      <c r="I19" s="598"/>
      <c r="J19" s="598"/>
      <c r="K19" s="599"/>
    </row>
    <row r="20" spans="2:11" ht="18">
      <c r="B20" s="1089" t="s">
        <v>243</v>
      </c>
      <c r="C20" s="1090"/>
      <c r="D20" s="1090"/>
      <c r="E20" s="1090"/>
      <c r="F20" s="1090"/>
      <c r="G20" s="1091"/>
      <c r="H20" s="1091"/>
      <c r="I20" s="1091"/>
      <c r="J20" s="1091"/>
      <c r="K20" s="1092"/>
    </row>
    <row r="21" spans="2:11" ht="9" customHeight="1">
      <c r="B21" s="1093"/>
      <c r="C21" s="1094"/>
      <c r="D21" s="1094"/>
      <c r="E21" s="1094"/>
      <c r="F21" s="1094"/>
      <c r="G21" s="1094"/>
      <c r="H21" s="1094"/>
      <c r="I21" s="1094"/>
      <c r="J21" s="1094"/>
      <c r="K21" s="1095"/>
    </row>
    <row r="22" spans="2:11" ht="15">
      <c r="B22" s="1070" t="s">
        <v>284</v>
      </c>
      <c r="C22" s="1054"/>
      <c r="D22" s="1054"/>
      <c r="E22" s="1054"/>
      <c r="F22" s="1055"/>
      <c r="G22" s="1070" t="s">
        <v>288</v>
      </c>
      <c r="H22" s="1054"/>
      <c r="I22" s="1054"/>
      <c r="J22" s="1054"/>
      <c r="K22" s="1054"/>
    </row>
    <row r="23" spans="2:11" ht="9" customHeight="1">
      <c r="B23" s="642"/>
      <c r="C23" s="644"/>
      <c r="D23" s="644"/>
      <c r="E23" s="644"/>
      <c r="F23" s="650"/>
      <c r="G23" s="642"/>
      <c r="H23" s="645"/>
      <c r="I23" s="645"/>
      <c r="J23" s="645"/>
      <c r="K23" s="643"/>
    </row>
    <row r="24" spans="2:11" ht="15">
      <c r="B24" s="1070" t="s">
        <v>285</v>
      </c>
      <c r="C24" s="1054"/>
      <c r="D24" s="1054"/>
      <c r="E24" s="1054"/>
      <c r="F24" s="1055"/>
      <c r="G24" s="1070" t="s">
        <v>289</v>
      </c>
      <c r="H24" s="1054"/>
      <c r="I24" s="1054"/>
      <c r="J24" s="1054"/>
      <c r="K24" s="1054"/>
    </row>
    <row r="25" spans="2:11" ht="9" customHeight="1">
      <c r="B25" s="642"/>
      <c r="C25" s="644"/>
      <c r="D25" s="644"/>
      <c r="E25" s="644"/>
      <c r="F25" s="650"/>
      <c r="G25" s="642"/>
      <c r="H25" s="646"/>
      <c r="I25" s="646"/>
      <c r="J25" s="646"/>
      <c r="K25" s="647"/>
    </row>
    <row r="26" spans="2:11" ht="15">
      <c r="B26" s="1070" t="s">
        <v>277</v>
      </c>
      <c r="C26" s="1054"/>
      <c r="D26" s="1054"/>
      <c r="E26" s="1054"/>
      <c r="F26" s="1055"/>
      <c r="G26" s="1070" t="s">
        <v>290</v>
      </c>
      <c r="H26" s="1054"/>
      <c r="I26" s="1054"/>
      <c r="J26" s="1054"/>
      <c r="K26" s="1054"/>
    </row>
    <row r="27" spans="2:11" ht="9" customHeight="1">
      <c r="B27" s="642"/>
      <c r="C27" s="644"/>
      <c r="D27" s="644"/>
      <c r="E27" s="644"/>
      <c r="F27" s="650"/>
      <c r="G27" s="642"/>
      <c r="H27" s="644"/>
      <c r="I27" s="644"/>
      <c r="J27" s="644"/>
      <c r="K27" s="648"/>
    </row>
    <row r="28" spans="2:11" ht="15">
      <c r="B28" s="1070" t="s">
        <v>278</v>
      </c>
      <c r="C28" s="1054"/>
      <c r="D28" s="1054"/>
      <c r="E28" s="1054"/>
      <c r="F28" s="1055"/>
      <c r="G28" s="1070" t="s">
        <v>280</v>
      </c>
      <c r="H28" s="1054"/>
      <c r="I28" s="1054"/>
      <c r="J28" s="1054"/>
      <c r="K28" s="1054"/>
    </row>
    <row r="29" spans="2:11" ht="9" customHeight="1">
      <c r="B29" s="642"/>
      <c r="C29" s="644"/>
      <c r="D29" s="644"/>
      <c r="E29" s="644"/>
      <c r="F29" s="650"/>
      <c r="G29" s="642"/>
      <c r="H29" s="644"/>
      <c r="I29" s="644"/>
      <c r="J29" s="644"/>
      <c r="K29" s="648"/>
    </row>
    <row r="30" spans="2:11" ht="15">
      <c r="B30" s="1070" t="s">
        <v>286</v>
      </c>
      <c r="C30" s="1054"/>
      <c r="D30" s="1054"/>
      <c r="E30" s="1054"/>
      <c r="F30" s="1055"/>
      <c r="G30" s="1070" t="s">
        <v>281</v>
      </c>
      <c r="H30" s="1054"/>
      <c r="I30" s="1054"/>
      <c r="J30" s="1054"/>
      <c r="K30" s="1054"/>
    </row>
    <row r="31" spans="2:11" ht="9" customHeight="1">
      <c r="B31" s="642"/>
      <c r="C31" s="644"/>
      <c r="D31" s="644"/>
      <c r="E31" s="644"/>
      <c r="F31" s="650"/>
      <c r="G31" s="642"/>
      <c r="H31" s="644"/>
      <c r="I31" s="644"/>
      <c r="J31" s="644"/>
      <c r="K31" s="648"/>
    </row>
    <row r="32" spans="2:11" ht="15">
      <c r="B32" s="1070" t="s">
        <v>279</v>
      </c>
      <c r="C32" s="1054"/>
      <c r="D32" s="1054"/>
      <c r="E32" s="1054"/>
      <c r="F32" s="1055"/>
      <c r="G32" s="1070" t="s">
        <v>282</v>
      </c>
      <c r="H32" s="1054"/>
      <c r="I32" s="1054"/>
      <c r="J32" s="1054"/>
      <c r="K32" s="1054"/>
    </row>
    <row r="33" spans="2:11" ht="9" customHeight="1">
      <c r="B33" s="642"/>
      <c r="C33" s="646"/>
      <c r="D33" s="646"/>
      <c r="E33" s="646"/>
      <c r="F33" s="649"/>
      <c r="G33" s="642"/>
      <c r="H33" s="644"/>
      <c r="I33" s="644"/>
      <c r="J33" s="644"/>
      <c r="K33" s="648"/>
    </row>
    <row r="34" spans="2:11" ht="16.5">
      <c r="B34" s="1070" t="s">
        <v>287</v>
      </c>
      <c r="C34" s="1054"/>
      <c r="D34" s="1054"/>
      <c r="E34" s="1054"/>
      <c r="F34" s="1055"/>
      <c r="G34" s="1067"/>
      <c r="H34" s="1068"/>
      <c r="I34" s="1068"/>
      <c r="J34" s="1068"/>
      <c r="K34" s="1069"/>
    </row>
    <row r="35" spans="2:11" ht="15.75" thickBot="1">
      <c r="B35" s="603"/>
      <c r="C35" s="600"/>
      <c r="D35" s="600"/>
      <c r="E35" s="600"/>
      <c r="F35" s="600"/>
      <c r="G35" s="600"/>
      <c r="H35" s="601"/>
      <c r="I35" s="601"/>
      <c r="J35" s="601"/>
      <c r="K35" s="602"/>
    </row>
  </sheetData>
  <sheetProtection password="DD49" sheet="1" objects="1" scenarios="1"/>
  <mergeCells count="35">
    <mergeCell ref="B22:F22"/>
    <mergeCell ref="G22:K22"/>
    <mergeCell ref="B20:K20"/>
    <mergeCell ref="B21:F21"/>
    <mergeCell ref="G21:K21"/>
    <mergeCell ref="B18:F18"/>
    <mergeCell ref="G18:K18"/>
    <mergeCell ref="B14:F14"/>
    <mergeCell ref="G14:K14"/>
    <mergeCell ref="B16:F16"/>
    <mergeCell ref="G16:K16"/>
    <mergeCell ref="B10:F10"/>
    <mergeCell ref="G10:K10"/>
    <mergeCell ref="B12:F12"/>
    <mergeCell ref="G12:K12"/>
    <mergeCell ref="B8:F8"/>
    <mergeCell ref="G8:K8"/>
    <mergeCell ref="B9:F9"/>
    <mergeCell ref="G9:K9"/>
    <mergeCell ref="B3:K3"/>
    <mergeCell ref="F4:G4"/>
    <mergeCell ref="B5:K5"/>
    <mergeCell ref="F6:G6"/>
    <mergeCell ref="B28:F28"/>
    <mergeCell ref="B30:F30"/>
    <mergeCell ref="B32:F32"/>
    <mergeCell ref="B34:F34"/>
    <mergeCell ref="B24:F24"/>
    <mergeCell ref="G24:K24"/>
    <mergeCell ref="G26:K26"/>
    <mergeCell ref="B26:F26"/>
    <mergeCell ref="G34:K34"/>
    <mergeCell ref="G30:K30"/>
    <mergeCell ref="G32:K32"/>
    <mergeCell ref="G28:K28"/>
  </mergeCells>
  <hyperlinks>
    <hyperlink ref="B12:F12" location="'MANUAL COST'!A1" tooltip="Go to manual staff salary calculation sheet" display="Manual Staff Salary Calculation Sheet"/>
    <hyperlink ref="B14:F14" location="'APTC COST'!A1" tooltip="Go to APTC staff salary calculation sheet" display="APTC Staff Salary Calculation Sheet"/>
    <hyperlink ref="B16:F16" location="'Statement Support'!A1" tooltip="Go to statement support quick costing sheet" display="Quick Costing - Statement Support Staff"/>
    <hyperlink ref="B18:F18" location="'Overtime Rates'!A1" tooltip="Go to overtime rates costing sheet for manual staff" display="Manual Staff Overtime Rates Sheet"/>
    <hyperlink ref="G10:K10" location="'Teachers Statement'!A1" tooltip="Go to teachers salary statement sheet" display="Teachers Salary Statement Sheet"/>
    <hyperlink ref="G12:K12" location="'Manual Statement'!A1" tooltip="Go to manual staff salary statement sheet" display="Manual Staff Salary Statement Sheet"/>
    <hyperlink ref="G14:K14" location="'APTC Statement'!A1" tooltip="Go to APTC staff salary statement sheet" display="APTC Staff Salary Statement Sheet"/>
    <hyperlink ref="G18:K18" location="'Salary Scales'!A1" tooltip="Go to salary scales and values sheet" display="List of Salary Scales &amp; Values"/>
    <hyperlink ref="G16:K16" location="'Terms of Use'!A1" tooltip="Go to the terms of use sheet" display="Terms of Use Sheet"/>
    <hyperlink ref="B10:F10" location="'TEACHER COST'!A1" tooltip="Go to teachers salary calculation sheet" display="Teachers Salary Calculation Sheet"/>
  </hyperlinks>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A52"/>
  <sheetViews>
    <sheetView showGridLines="0" showRowColHeaders="0" tabSelected="1" showOutlineSymbols="0" zoomScale="75" zoomScaleNormal="75" workbookViewId="0" topLeftCell="A1">
      <pane ySplit="1" topLeftCell="BM2" activePane="bottomLeft" state="frozen"/>
      <selection pane="topLeft" activeCell="K12" sqref="K12:L12"/>
      <selection pane="bottomLeft" activeCell="D14" sqref="D14"/>
    </sheetView>
  </sheetViews>
  <sheetFormatPr defaultColWidth="24.10546875" defaultRowHeight="15" zeroHeight="1"/>
  <cols>
    <col min="1" max="1" width="1.66796875" style="4" customWidth="1"/>
    <col min="2" max="2" width="0.78125" style="4" customWidth="1"/>
    <col min="3" max="3" width="21.6640625" style="4" customWidth="1"/>
    <col min="4" max="4" width="5.6640625" style="4" customWidth="1"/>
    <col min="5" max="5" width="6.10546875" style="4" customWidth="1"/>
    <col min="6" max="7" width="8.77734375" style="4" customWidth="1"/>
    <col min="8" max="10" width="9.77734375" style="4" customWidth="1"/>
    <col min="11" max="13" width="8.6640625" style="4" customWidth="1"/>
    <col min="14" max="16" width="11.77734375" style="4" customWidth="1"/>
    <col min="17" max="17" width="12.4453125" style="4" customWidth="1"/>
    <col min="18" max="18" width="8.10546875" style="4" hidden="1" customWidth="1"/>
    <col min="19" max="19" width="0.671875" style="4" customWidth="1"/>
    <col min="20" max="20" width="1.66796875" style="4" customWidth="1"/>
    <col min="21" max="21" width="22.5546875" style="4" customWidth="1"/>
    <col min="22" max="22" width="21.6640625" style="4" customWidth="1"/>
    <col min="23" max="27" width="11.4453125" style="4" customWidth="1"/>
    <col min="28" max="16384" width="0" style="4" hidden="1" customWidth="1"/>
  </cols>
  <sheetData>
    <row r="1" spans="1:27" ht="30" customHeight="1">
      <c r="A1" s="86"/>
      <c r="B1" s="86"/>
      <c r="C1" s="621"/>
      <c r="D1" s="86"/>
      <c r="E1" s="86"/>
      <c r="F1" s="583" t="s">
        <v>244</v>
      </c>
      <c r="G1" s="86"/>
      <c r="H1" s="86"/>
      <c r="I1" s="1098" t="s">
        <v>261</v>
      </c>
      <c r="J1" s="1099"/>
      <c r="K1" s="1099"/>
      <c r="L1" s="1099"/>
      <c r="M1" s="1099"/>
      <c r="N1" s="86"/>
      <c r="O1" s="86"/>
      <c r="P1" s="86"/>
      <c r="Q1" s="86"/>
      <c r="R1" s="86"/>
      <c r="S1" s="86"/>
      <c r="T1" s="86"/>
      <c r="U1" s="86"/>
      <c r="V1" s="86"/>
      <c r="W1" s="86"/>
      <c r="X1" s="86"/>
      <c r="Y1" s="86"/>
      <c r="Z1" s="86"/>
      <c r="AA1" s="86"/>
    </row>
    <row r="2" spans="1:27" ht="18.75" customHeight="1">
      <c r="A2" s="86"/>
      <c r="B2" s="86"/>
      <c r="C2" s="20"/>
      <c r="D2" s="86"/>
      <c r="E2" s="86"/>
      <c r="F2" s="86"/>
      <c r="G2" s="86"/>
      <c r="H2" s="86"/>
      <c r="I2" s="87"/>
      <c r="J2" s="87"/>
      <c r="K2" s="20"/>
      <c r="L2" s="20"/>
      <c r="M2" s="20"/>
      <c r="N2" s="86"/>
      <c r="O2" s="86"/>
      <c r="P2" s="86"/>
      <c r="Q2" s="87"/>
      <c r="R2" s="87"/>
      <c r="S2" s="86"/>
      <c r="T2" s="86"/>
      <c r="U2" s="86"/>
      <c r="V2" s="86"/>
      <c r="W2" s="86"/>
      <c r="X2" s="86"/>
      <c r="Y2" s="86"/>
      <c r="Z2" s="86"/>
      <c r="AA2" s="86"/>
    </row>
    <row r="3" spans="1:27" ht="5.25" customHeight="1" thickBot="1">
      <c r="A3" s="86"/>
      <c r="B3" s="78"/>
      <c r="C3" s="18"/>
      <c r="D3" s="78"/>
      <c r="E3" s="78"/>
      <c r="F3" s="78"/>
      <c r="G3" s="78"/>
      <c r="H3" s="78"/>
      <c r="I3" s="85"/>
      <c r="J3" s="85"/>
      <c r="K3" s="18"/>
      <c r="L3" s="18"/>
      <c r="M3" s="18"/>
      <c r="N3" s="78"/>
      <c r="O3" s="78"/>
      <c r="P3" s="78"/>
      <c r="Q3" s="85"/>
      <c r="R3" s="85"/>
      <c r="S3" s="78"/>
      <c r="T3" s="86"/>
      <c r="U3" s="86"/>
      <c r="V3" s="86"/>
      <c r="W3" s="86"/>
      <c r="X3" s="86"/>
      <c r="Y3" s="86"/>
      <c r="Z3" s="86"/>
      <c r="AA3" s="86"/>
    </row>
    <row r="4" spans="1:27" ht="15">
      <c r="A4" s="86"/>
      <c r="B4" s="78"/>
      <c r="C4" s="163"/>
      <c r="D4" s="164"/>
      <c r="E4" s="164"/>
      <c r="F4" s="164"/>
      <c r="G4" s="164"/>
      <c r="H4" s="164"/>
      <c r="I4" s="164" t="s">
        <v>0</v>
      </c>
      <c r="J4" s="203" t="str">
        <f ca="1">CELL("filename",A2:A2)</f>
        <v>F:\exceledSiteWebD\systems\[salarycalc.xls]TEACHER COST</v>
      </c>
      <c r="K4" s="164"/>
      <c r="L4" s="164"/>
      <c r="M4" s="203"/>
      <c r="N4" s="164"/>
      <c r="O4" s="203"/>
      <c r="P4" s="164"/>
      <c r="Q4" s="204"/>
      <c r="R4" s="3"/>
      <c r="S4" s="78"/>
      <c r="T4" s="86"/>
      <c r="U4" s="86"/>
      <c r="V4" s="86"/>
      <c r="W4" s="86"/>
      <c r="X4" s="86"/>
      <c r="Y4" s="86"/>
      <c r="Z4" s="86"/>
      <c r="AA4" s="86"/>
    </row>
    <row r="5" spans="1:27" ht="16.5" customHeight="1">
      <c r="A5" s="86"/>
      <c r="B5" s="78"/>
      <c r="C5" s="165" t="s">
        <v>1</v>
      </c>
      <c r="D5" s="140" t="str">
        <f>('Terms of Use'!$H$31)</f>
        <v>SELECT SCHOOL NAME FROM LIST</v>
      </c>
      <c r="E5" s="166"/>
      <c r="F5" s="166"/>
      <c r="G5" s="166"/>
      <c r="H5" s="166"/>
      <c r="I5" s="166"/>
      <c r="J5" s="166"/>
      <c r="K5" s="166"/>
      <c r="L5" s="205"/>
      <c r="M5" s="166"/>
      <c r="N5" s="166"/>
      <c r="O5" s="166"/>
      <c r="P5" s="166"/>
      <c r="Q5" s="206"/>
      <c r="R5" s="3"/>
      <c r="S5" s="82"/>
      <c r="T5" s="86"/>
      <c r="U5" s="86"/>
      <c r="V5" s="86"/>
      <c r="W5" s="86"/>
      <c r="X5" s="86"/>
      <c r="Y5" s="86"/>
      <c r="Z5" s="86"/>
      <c r="AA5" s="86"/>
    </row>
    <row r="6" spans="1:27" ht="16.5" customHeight="1">
      <c r="A6" s="86"/>
      <c r="B6" s="78"/>
      <c r="C6" s="629" t="str">
        <f>IF('Terms of Use'!$H$31='Terms of Use'!$O$2,"   **UNAUTHORISED USER!  THIS DOCUMENT WILL NOT CALCULATE ACCURATELY**",0)</f>
        <v>   **UNAUTHORISED USER!  THIS DOCUMENT WILL NOT CALCULATE ACCURATELY**</v>
      </c>
      <c r="D6" s="140"/>
      <c r="E6" s="166"/>
      <c r="F6" s="166"/>
      <c r="G6" s="166"/>
      <c r="H6" s="166"/>
      <c r="I6" s="166"/>
      <c r="J6" s="166"/>
      <c r="K6" s="166"/>
      <c r="L6" s="205"/>
      <c r="M6" s="421">
        <f>IF('Terms of Use'!$Z$67=0,"INVALID ORGANISATION NAME… DOCUMENT WILL NOT CALCULATE ACCURATELY.  PLEASE TRY AGAIN.",0)</f>
        <v>0</v>
      </c>
      <c r="N6" s="166"/>
      <c r="O6" s="166"/>
      <c r="P6" s="166"/>
      <c r="Q6" s="206"/>
      <c r="R6" s="3"/>
      <c r="S6" s="82"/>
      <c r="T6" s="86"/>
      <c r="U6" s="86"/>
      <c r="V6" s="86"/>
      <c r="W6" s="86"/>
      <c r="X6" s="86"/>
      <c r="Y6" s="86"/>
      <c r="Z6" s="86"/>
      <c r="AA6" s="86"/>
    </row>
    <row r="7" spans="1:27" ht="16.5" customHeight="1">
      <c r="A7" s="86"/>
      <c r="B7" s="78"/>
      <c r="C7" s="62" t="s">
        <v>147</v>
      </c>
      <c r="D7" s="168"/>
      <c r="E7" s="166"/>
      <c r="F7" s="169"/>
      <c r="G7" s="169"/>
      <c r="H7" s="166"/>
      <c r="I7" s="207"/>
      <c r="J7" s="166"/>
      <c r="K7" s="166"/>
      <c r="L7" s="166"/>
      <c r="M7" s="166"/>
      <c r="N7" s="166"/>
      <c r="O7" s="166"/>
      <c r="P7" s="166"/>
      <c r="Q7" s="206"/>
      <c r="R7" s="90"/>
      <c r="S7" s="32"/>
      <c r="T7" s="86"/>
      <c r="U7" s="86"/>
      <c r="V7" s="86"/>
      <c r="W7" s="86"/>
      <c r="X7" s="86"/>
      <c r="Y7" s="86"/>
      <c r="Z7" s="86"/>
      <c r="AA7" s="86"/>
    </row>
    <row r="8" spans="1:27" ht="16.5" customHeight="1" thickBot="1">
      <c r="A8" s="86"/>
      <c r="B8" s="78"/>
      <c r="C8" s="170"/>
      <c r="D8" s="166"/>
      <c r="E8" s="166"/>
      <c r="F8" s="166"/>
      <c r="G8" s="166"/>
      <c r="H8" s="166"/>
      <c r="I8" s="1100" t="s">
        <v>191</v>
      </c>
      <c r="J8" s="1101"/>
      <c r="K8" s="166"/>
      <c r="L8" s="205"/>
      <c r="M8" s="166"/>
      <c r="N8" s="208"/>
      <c r="O8" s="166"/>
      <c r="P8" s="166"/>
      <c r="Q8" s="206"/>
      <c r="R8" s="3"/>
      <c r="S8" s="78"/>
      <c r="T8" s="86"/>
      <c r="U8" s="86"/>
      <c r="V8" s="86"/>
      <c r="W8" s="86"/>
      <c r="X8" s="86"/>
      <c r="Y8" s="86"/>
      <c r="Z8" s="86"/>
      <c r="AA8" s="86"/>
    </row>
    <row r="9" spans="1:27" ht="16.5" customHeight="1" thickBot="1">
      <c r="A9" s="86"/>
      <c r="B9" s="78"/>
      <c r="C9" s="171" t="s">
        <v>145</v>
      </c>
      <c r="D9" s="172"/>
      <c r="E9" s="172"/>
      <c r="F9" s="172"/>
      <c r="G9" s="172"/>
      <c r="H9" s="172"/>
      <c r="I9" s="172"/>
      <c r="J9" s="140"/>
      <c r="K9" s="172"/>
      <c r="L9" s="140"/>
      <c r="M9" s="140"/>
      <c r="N9" s="140"/>
      <c r="O9" s="140"/>
      <c r="P9" s="140"/>
      <c r="Q9" s="209"/>
      <c r="R9" s="5"/>
      <c r="S9" s="80"/>
      <c r="T9" s="86"/>
      <c r="U9" s="86"/>
      <c r="V9" s="86"/>
      <c r="W9" s="86"/>
      <c r="X9" s="86"/>
      <c r="Y9" s="86"/>
      <c r="Z9" s="86"/>
      <c r="AA9" s="86"/>
    </row>
    <row r="10" spans="1:27" ht="19.5" customHeight="1">
      <c r="A10" s="86"/>
      <c r="B10" s="78"/>
      <c r="C10" s="173"/>
      <c r="D10" s="174"/>
      <c r="E10" s="175" t="s">
        <v>2</v>
      </c>
      <c r="F10" s="176" t="s">
        <v>85</v>
      </c>
      <c r="G10" s="177" t="s">
        <v>104</v>
      </c>
      <c r="H10" s="178" t="s">
        <v>84</v>
      </c>
      <c r="I10" s="177" t="s">
        <v>72</v>
      </c>
      <c r="J10" s="178" t="s">
        <v>3</v>
      </c>
      <c r="K10" s="216" t="s">
        <v>4</v>
      </c>
      <c r="L10" s="178" t="s">
        <v>4</v>
      </c>
      <c r="M10" s="178" t="s">
        <v>4</v>
      </c>
      <c r="N10" s="224" t="s">
        <v>5</v>
      </c>
      <c r="O10" s="225" t="s">
        <v>113</v>
      </c>
      <c r="P10" s="226" t="s">
        <v>17</v>
      </c>
      <c r="Q10" s="210" t="s">
        <v>8</v>
      </c>
      <c r="R10" s="88" t="s">
        <v>3</v>
      </c>
      <c r="S10" s="83"/>
      <c r="T10" s="86"/>
      <c r="U10" s="86"/>
      <c r="V10" s="86"/>
      <c r="W10" s="86"/>
      <c r="X10" s="86"/>
      <c r="Y10" s="86"/>
      <c r="Z10" s="86"/>
      <c r="AA10" s="86"/>
    </row>
    <row r="11" spans="1:27" ht="19.5" customHeight="1" thickBot="1">
      <c r="A11" s="86"/>
      <c r="B11" s="78"/>
      <c r="C11" s="179"/>
      <c r="D11" s="180" t="s">
        <v>74</v>
      </c>
      <c r="E11" s="181" t="s">
        <v>6</v>
      </c>
      <c r="F11" s="309" t="s">
        <v>86</v>
      </c>
      <c r="G11" s="310" t="s">
        <v>86</v>
      </c>
      <c r="H11" s="183" t="s">
        <v>38</v>
      </c>
      <c r="I11" s="182" t="s">
        <v>73</v>
      </c>
      <c r="J11" s="183" t="s">
        <v>7</v>
      </c>
      <c r="K11" s="217" t="s">
        <v>11</v>
      </c>
      <c r="L11" s="183" t="s">
        <v>11</v>
      </c>
      <c r="M11" s="183" t="s">
        <v>11</v>
      </c>
      <c r="N11" s="227" t="s">
        <v>8</v>
      </c>
      <c r="O11" s="228" t="s">
        <v>83</v>
      </c>
      <c r="P11" s="229" t="s">
        <v>11</v>
      </c>
      <c r="Q11" s="211" t="s">
        <v>11</v>
      </c>
      <c r="R11" s="5" t="s">
        <v>10</v>
      </c>
      <c r="S11" s="84"/>
      <c r="T11" s="86"/>
      <c r="U11" s="86"/>
      <c r="V11" s="86"/>
      <c r="W11" s="86"/>
      <c r="X11" s="86"/>
      <c r="Y11" s="86"/>
      <c r="Z11" s="86"/>
      <c r="AA11" s="86"/>
    </row>
    <row r="12" spans="1:27" ht="19.5" customHeight="1" thickBot="1">
      <c r="A12" s="86"/>
      <c r="B12" s="78"/>
      <c r="C12" s="453"/>
      <c r="D12" s="184"/>
      <c r="E12" s="185"/>
      <c r="F12" s="311" t="s">
        <v>87</v>
      </c>
      <c r="G12" s="312" t="s">
        <v>87</v>
      </c>
      <c r="H12" s="187" t="s">
        <v>83</v>
      </c>
      <c r="I12" s="186"/>
      <c r="J12" s="172"/>
      <c r="K12" s="218"/>
      <c r="L12" s="187" t="s">
        <v>89</v>
      </c>
      <c r="M12" s="187" t="s">
        <v>105</v>
      </c>
      <c r="N12" s="230" t="s">
        <v>11</v>
      </c>
      <c r="O12" s="241">
        <f>'Salary Scales'!M63</f>
        <v>0</v>
      </c>
      <c r="P12" s="231" t="s">
        <v>83</v>
      </c>
      <c r="Q12" s="212" t="s">
        <v>146</v>
      </c>
      <c r="R12" s="162" t="s">
        <v>12</v>
      </c>
      <c r="S12" s="83"/>
      <c r="T12" s="86"/>
      <c r="U12" s="86"/>
      <c r="V12" s="86"/>
      <c r="W12" s="86"/>
      <c r="X12" s="86"/>
      <c r="Y12" s="86"/>
      <c r="Z12" s="86"/>
      <c r="AA12" s="86"/>
    </row>
    <row r="13" spans="1:27" ht="18.75" customHeight="1">
      <c r="A13" s="86"/>
      <c r="B13" s="78"/>
      <c r="C13" s="452"/>
      <c r="D13" s="188"/>
      <c r="E13" s="189"/>
      <c r="F13" s="190"/>
      <c r="G13" s="191"/>
      <c r="H13" s="140"/>
      <c r="I13" s="191"/>
      <c r="J13" s="140"/>
      <c r="K13" s="219"/>
      <c r="L13" s="140"/>
      <c r="M13" s="140"/>
      <c r="N13" s="232"/>
      <c r="O13" s="233"/>
      <c r="P13" s="234"/>
      <c r="Q13" s="213"/>
      <c r="R13" s="89"/>
      <c r="S13" s="83"/>
      <c r="T13" s="316"/>
      <c r="U13" s="313"/>
      <c r="V13" s="86"/>
      <c r="W13" s="86"/>
      <c r="X13" s="86"/>
      <c r="Y13" s="86"/>
      <c r="Z13" s="86"/>
      <c r="AA13" s="86"/>
    </row>
    <row r="14" spans="1:27" ht="27.75" customHeight="1">
      <c r="A14" s="86"/>
      <c r="B14" s="575" t="s">
        <v>256</v>
      </c>
      <c r="C14" s="195" t="s">
        <v>13</v>
      </c>
      <c r="D14" s="698">
        <v>0</v>
      </c>
      <c r="E14" s="699">
        <v>0</v>
      </c>
      <c r="F14" s="192" t="s">
        <v>82</v>
      </c>
      <c r="G14" s="193" t="s">
        <v>82</v>
      </c>
      <c r="H14" s="194" t="s">
        <v>82</v>
      </c>
      <c r="I14" s="702">
        <v>0</v>
      </c>
      <c r="J14" s="700">
        <v>0</v>
      </c>
      <c r="K14" s="220">
        <f>IF(D14&lt;0.01,0,IF(E14&lt;0.01,0,VLOOKUP(E14,'Salary Scales'!$L$17:$M$57,2)))</f>
        <v>0</v>
      </c>
      <c r="L14" s="221" t="s">
        <v>82</v>
      </c>
      <c r="M14" s="221" t="s">
        <v>82</v>
      </c>
      <c r="N14" s="235">
        <f>K14*D14</f>
        <v>0</v>
      </c>
      <c r="O14" s="236">
        <f>$O$12*D14</f>
        <v>0</v>
      </c>
      <c r="P14" s="237">
        <f>I14+N14+O14</f>
        <v>0</v>
      </c>
      <c r="Q14" s="214">
        <f>P14+R14</f>
        <v>0</v>
      </c>
      <c r="R14" s="92">
        <f>(P14)/100*J14</f>
        <v>0</v>
      </c>
      <c r="S14" s="83"/>
      <c r="T14" s="316"/>
      <c r="U14" s="314" t="str">
        <f>C14</f>
        <v>Headteacher</v>
      </c>
      <c r="V14" s="86"/>
      <c r="W14" s="86"/>
      <c r="X14" s="86"/>
      <c r="Y14" s="86"/>
      <c r="Z14" s="86"/>
      <c r="AA14" s="86"/>
    </row>
    <row r="15" spans="1:27" ht="27.75" customHeight="1">
      <c r="A15" s="86"/>
      <c r="B15" s="575" t="s">
        <v>255</v>
      </c>
      <c r="C15" s="195" t="s">
        <v>264</v>
      </c>
      <c r="D15" s="698">
        <v>0</v>
      </c>
      <c r="E15" s="699">
        <v>0</v>
      </c>
      <c r="F15" s="192" t="s">
        <v>82</v>
      </c>
      <c r="G15" s="193" t="s">
        <v>82</v>
      </c>
      <c r="H15" s="194" t="s">
        <v>82</v>
      </c>
      <c r="I15" s="702">
        <v>0</v>
      </c>
      <c r="J15" s="700">
        <v>0</v>
      </c>
      <c r="K15" s="220">
        <f>IF(D15&lt;0.01,0,IF(E15&lt;0.01,0,VLOOKUP(E15,'Salary Scales'!$L$17:$M$57,2)))</f>
        <v>0</v>
      </c>
      <c r="L15" s="221" t="s">
        <v>82</v>
      </c>
      <c r="M15" s="221" t="s">
        <v>82</v>
      </c>
      <c r="N15" s="235">
        <f>K15*D15</f>
        <v>0</v>
      </c>
      <c r="O15" s="236">
        <f>$O$12*D15</f>
        <v>0</v>
      </c>
      <c r="P15" s="237">
        <f>I15+N15+O15</f>
        <v>0</v>
      </c>
      <c r="Q15" s="214">
        <f>P15+R15</f>
        <v>0</v>
      </c>
      <c r="R15" s="92">
        <f>(P15)/100*J15</f>
        <v>0</v>
      </c>
      <c r="S15" s="83"/>
      <c r="T15" s="316"/>
      <c r="U15" s="314" t="str">
        <f>C15</f>
        <v>Deputy Headteacher</v>
      </c>
      <c r="V15" s="86"/>
      <c r="W15" s="86"/>
      <c r="X15" s="86"/>
      <c r="Y15" s="86"/>
      <c r="Z15" s="86"/>
      <c r="AA15" s="86"/>
    </row>
    <row r="16" spans="1:27" ht="27.75" customHeight="1">
      <c r="A16" s="86"/>
      <c r="B16" s="575" t="s">
        <v>254</v>
      </c>
      <c r="C16" s="195" t="s">
        <v>144</v>
      </c>
      <c r="D16" s="698">
        <v>0</v>
      </c>
      <c r="E16" s="699">
        <v>0</v>
      </c>
      <c r="F16" s="192" t="s">
        <v>82</v>
      </c>
      <c r="G16" s="193" t="s">
        <v>82</v>
      </c>
      <c r="H16" s="194" t="s">
        <v>82</v>
      </c>
      <c r="I16" s="702">
        <v>0</v>
      </c>
      <c r="J16" s="700">
        <v>0</v>
      </c>
      <c r="K16" s="220">
        <f>IF(D16&lt;0.01,0,IF(E16&lt;0.01,0,VLOOKUP(E16,'Salary Scales'!$L$17:$M$57,2)))</f>
        <v>0</v>
      </c>
      <c r="L16" s="221" t="s">
        <v>82</v>
      </c>
      <c r="M16" s="221" t="s">
        <v>82</v>
      </c>
      <c r="N16" s="235">
        <f>K16*D16</f>
        <v>0</v>
      </c>
      <c r="O16" s="236">
        <f>$O$12*D16</f>
        <v>0</v>
      </c>
      <c r="P16" s="237">
        <f>I16+N16+O16</f>
        <v>0</v>
      </c>
      <c r="Q16" s="214">
        <f>P16+R16</f>
        <v>0</v>
      </c>
      <c r="R16" s="92">
        <f>(P16)/100*J16</f>
        <v>0</v>
      </c>
      <c r="S16" s="83"/>
      <c r="T16" s="316"/>
      <c r="U16" s="314" t="str">
        <f>C16</f>
        <v>Leadership Teacher</v>
      </c>
      <c r="V16" s="86"/>
      <c r="W16" s="86"/>
      <c r="X16" s="86"/>
      <c r="Y16" s="86"/>
      <c r="Z16" s="86"/>
      <c r="AA16" s="86"/>
    </row>
    <row r="17" spans="1:27" ht="27.75" customHeight="1">
      <c r="A17" s="86"/>
      <c r="B17" s="575" t="s">
        <v>252</v>
      </c>
      <c r="C17" s="196" t="s">
        <v>186</v>
      </c>
      <c r="D17" s="698">
        <v>1</v>
      </c>
      <c r="E17" s="699">
        <v>2</v>
      </c>
      <c r="F17" s="701">
        <v>0</v>
      </c>
      <c r="G17" s="701">
        <v>1</v>
      </c>
      <c r="H17" s="700">
        <v>2250</v>
      </c>
      <c r="I17" s="702">
        <v>0</v>
      </c>
      <c r="J17" s="700">
        <v>0</v>
      </c>
      <c r="K17" s="220">
        <f>IF($D17&lt;0.01,0,IF($F17=1,0,IF($G17=1,0,(VLOOKUP($E17,'Salary Scales'!$C$27:$D$61,2)))))</f>
        <v>0</v>
      </c>
      <c r="L17" s="222">
        <f>IF($D17&lt;0.01,0,IF($F17=0,0,IF($G17=1,0,(VLOOKUP($E17,'Salary Scales'!$F$18:$G$59,2)))))</f>
        <v>0</v>
      </c>
      <c r="M17" s="222">
        <f>IF($D17&lt;0.01,0,IF($F17=1,0,IF($G17=0,0,(VLOOKUP($E17,'Salary Scales'!$I$17:$J$21,2)))))</f>
        <v>34101</v>
      </c>
      <c r="N17" s="235">
        <f>(H17+K17+L17+M17)*D17</f>
        <v>36351</v>
      </c>
      <c r="O17" s="236">
        <f>$O$12*D17</f>
        <v>0</v>
      </c>
      <c r="P17" s="237">
        <f>I17+N17+O17</f>
        <v>36351</v>
      </c>
      <c r="Q17" s="214">
        <f>P17+R17</f>
        <v>36351</v>
      </c>
      <c r="R17" s="92">
        <f>(P17)/100*J17</f>
        <v>0</v>
      </c>
      <c r="S17" s="83"/>
      <c r="T17" s="316"/>
      <c r="U17" s="314" t="str">
        <f>C17</f>
        <v>Qualified Teacher</v>
      </c>
      <c r="V17" s="86"/>
      <c r="W17" s="86"/>
      <c r="X17" s="86"/>
      <c r="Y17" s="86"/>
      <c r="Z17" s="86"/>
      <c r="AA17" s="86"/>
    </row>
    <row r="18" spans="1:27" ht="27.75" customHeight="1">
      <c r="A18" s="86"/>
      <c r="B18" s="575" t="s">
        <v>253</v>
      </c>
      <c r="C18" s="196" t="s">
        <v>187</v>
      </c>
      <c r="D18" s="698">
        <v>0</v>
      </c>
      <c r="E18" s="699">
        <v>0</v>
      </c>
      <c r="F18" s="192" t="s">
        <v>82</v>
      </c>
      <c r="G18" s="193" t="s">
        <v>82</v>
      </c>
      <c r="H18" s="700">
        <v>0</v>
      </c>
      <c r="I18" s="702">
        <v>0</v>
      </c>
      <c r="J18" s="700">
        <v>0</v>
      </c>
      <c r="K18" s="220">
        <f>IF(D18&lt;0.01,0,IF(E18&lt;0.01,0,VLOOKUP(E18,'Salary Scales'!$O$17:$P$26,2)))</f>
        <v>0</v>
      </c>
      <c r="L18" s="221" t="s">
        <v>82</v>
      </c>
      <c r="M18" s="221" t="s">
        <v>82</v>
      </c>
      <c r="N18" s="235">
        <f>(K18+H18)*D18</f>
        <v>0</v>
      </c>
      <c r="O18" s="236">
        <f>$O$12*D18</f>
        <v>0</v>
      </c>
      <c r="P18" s="237">
        <f>I18+N18+O18</f>
        <v>0</v>
      </c>
      <c r="Q18" s="214">
        <f>P18+R18</f>
        <v>0</v>
      </c>
      <c r="R18" s="92">
        <f>(P18)/100*J18</f>
        <v>0</v>
      </c>
      <c r="S18" s="83"/>
      <c r="T18" s="316"/>
      <c r="U18" s="314" t="str">
        <f>C18</f>
        <v>Unqualified Teacher</v>
      </c>
      <c r="V18" s="86"/>
      <c r="W18" s="86"/>
      <c r="X18" s="86"/>
      <c r="Y18" s="86"/>
      <c r="Z18" s="86"/>
      <c r="AA18" s="86"/>
    </row>
    <row r="19" spans="1:27" ht="18.75" customHeight="1" thickBot="1">
      <c r="A19" s="86"/>
      <c r="B19" s="78"/>
      <c r="C19" s="197"/>
      <c r="D19" s="198"/>
      <c r="E19" s="456" t="str">
        <f>IF(AND(F17=0,G17=0,E17&gt;9),"Enter a point between 1 &amp; 9 only for teachers on the Common Pay Spine"," ")</f>
        <v> </v>
      </c>
      <c r="F19" s="199"/>
      <c r="G19" s="200"/>
      <c r="H19" s="201"/>
      <c r="I19" s="200"/>
      <c r="J19" s="202"/>
      <c r="K19" s="223"/>
      <c r="L19" s="201"/>
      <c r="M19" s="201"/>
      <c r="N19" s="238"/>
      <c r="O19" s="239"/>
      <c r="P19" s="240"/>
      <c r="Q19" s="215"/>
      <c r="R19" s="91"/>
      <c r="S19" s="83"/>
      <c r="T19" s="316"/>
      <c r="U19" s="315"/>
      <c r="V19" s="86"/>
      <c r="W19" s="86"/>
      <c r="X19" s="86"/>
      <c r="Y19" s="86"/>
      <c r="Z19" s="86"/>
      <c r="AA19" s="86"/>
    </row>
    <row r="20" spans="1:27" ht="4.5" customHeight="1">
      <c r="A20" s="86"/>
      <c r="B20" s="78"/>
      <c r="C20" s="79"/>
      <c r="D20" s="80"/>
      <c r="E20" s="78"/>
      <c r="F20" s="78"/>
      <c r="G20" s="78"/>
      <c r="H20" s="78"/>
      <c r="I20" s="78"/>
      <c r="J20" s="78"/>
      <c r="K20" s="78"/>
      <c r="L20" s="78"/>
      <c r="M20" s="78"/>
      <c r="N20" s="78"/>
      <c r="O20" s="78"/>
      <c r="P20" s="78"/>
      <c r="Q20" s="78"/>
      <c r="R20" s="78"/>
      <c r="S20" s="81"/>
      <c r="T20" s="86"/>
      <c r="U20" s="86"/>
      <c r="V20" s="86"/>
      <c r="W20" s="86"/>
      <c r="X20" s="86"/>
      <c r="Y20" s="86"/>
      <c r="Z20" s="86"/>
      <c r="AA20" s="86"/>
    </row>
    <row r="21" spans="1:27" ht="15.75" thickBot="1">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row>
    <row r="22" spans="1:27" ht="21" customHeight="1">
      <c r="A22" s="86"/>
      <c r="B22" s="86"/>
      <c r="C22" s="313"/>
      <c r="D22" s="476" t="s">
        <v>188</v>
      </c>
      <c r="E22" s="476"/>
      <c r="F22" s="476"/>
      <c r="G22" s="476"/>
      <c r="H22" s="476" t="s">
        <v>189</v>
      </c>
      <c r="I22" s="478"/>
      <c r="J22" s="477"/>
      <c r="K22" s="86"/>
      <c r="L22" s="86"/>
      <c r="M22" s="86"/>
      <c r="N22" s="86"/>
      <c r="O22" s="86"/>
      <c r="P22" s="86"/>
      <c r="Q22" s="86"/>
      <c r="R22" s="86"/>
      <c r="S22" s="86"/>
      <c r="T22" s="86"/>
      <c r="U22" s="86"/>
      <c r="V22" s="86"/>
      <c r="W22" s="86"/>
      <c r="X22" s="86"/>
      <c r="Y22" s="86"/>
      <c r="Z22" s="86"/>
      <c r="AA22" s="86"/>
    </row>
    <row r="23" spans="1:27" ht="27.75" customHeight="1">
      <c r="A23" s="86"/>
      <c r="B23" s="86"/>
      <c r="C23" s="314" t="str">
        <f>C14</f>
        <v>Headteacher</v>
      </c>
      <c r="D23" s="473"/>
      <c r="E23" s="1096">
        <f>IF(D14=0,0,P14/195/6.5/D14*1)</f>
        <v>0</v>
      </c>
      <c r="F23" s="1097"/>
      <c r="G23" s="471"/>
      <c r="H23" s="473"/>
      <c r="I23" s="1096">
        <f>IF(D14=0,0,Q14/195/6.5/D14*1)</f>
        <v>0</v>
      </c>
      <c r="J23" s="1102"/>
      <c r="K23" s="86"/>
      <c r="L23" s="86"/>
      <c r="M23" s="86"/>
      <c r="N23" s="86"/>
      <c r="O23" s="86"/>
      <c r="P23" s="86"/>
      <c r="Q23" s="86"/>
      <c r="R23" s="86"/>
      <c r="S23" s="86"/>
      <c r="T23" s="86"/>
      <c r="U23" s="86"/>
      <c r="V23" s="86"/>
      <c r="W23" s="86"/>
      <c r="X23" s="86"/>
      <c r="Y23" s="86"/>
      <c r="Z23" s="86"/>
      <c r="AA23" s="86"/>
    </row>
    <row r="24" spans="1:27" ht="27.75" customHeight="1">
      <c r="A24" s="86"/>
      <c r="B24" s="86"/>
      <c r="C24" s="314" t="str">
        <f>C15</f>
        <v>Deputy Headteacher</v>
      </c>
      <c r="D24" s="473"/>
      <c r="E24" s="1096">
        <f>IF(D15=0,0,P15/195/6.5/D15*1)</f>
        <v>0</v>
      </c>
      <c r="F24" s="1097"/>
      <c r="G24" s="471"/>
      <c r="H24" s="473"/>
      <c r="I24" s="1096">
        <f>IF(D15=0,0,Q15/195/6.5/D15*1)</f>
        <v>0</v>
      </c>
      <c r="J24" s="1102"/>
      <c r="K24" s="86"/>
      <c r="L24" s="86"/>
      <c r="M24" s="86"/>
      <c r="N24" s="86"/>
      <c r="O24" s="86"/>
      <c r="P24" s="86"/>
      <c r="Q24" s="86"/>
      <c r="R24" s="86"/>
      <c r="S24" s="86"/>
      <c r="T24" s="86"/>
      <c r="U24" s="86"/>
      <c r="V24" s="86"/>
      <c r="W24" s="86"/>
      <c r="X24" s="86"/>
      <c r="Y24" s="86"/>
      <c r="Z24" s="86"/>
      <c r="AA24" s="86"/>
    </row>
    <row r="25" spans="1:27" ht="27.75" customHeight="1">
      <c r="A25" s="86"/>
      <c r="B25" s="86"/>
      <c r="C25" s="314" t="str">
        <f>C16</f>
        <v>Leadership Teacher</v>
      </c>
      <c r="D25" s="473"/>
      <c r="E25" s="1096">
        <f>IF(D16=0,0,P16/195/6.5/D16*1)</f>
        <v>0</v>
      </c>
      <c r="F25" s="1097"/>
      <c r="G25" s="471"/>
      <c r="H25" s="473"/>
      <c r="I25" s="1096">
        <f>IF(D16=0,0,Q16/195/6.5/D16*1)</f>
        <v>0</v>
      </c>
      <c r="J25" s="1102"/>
      <c r="K25" s="86"/>
      <c r="L25" s="86"/>
      <c r="M25" s="86"/>
      <c r="N25" s="86"/>
      <c r="O25" s="86"/>
      <c r="P25" s="86"/>
      <c r="Q25" s="86"/>
      <c r="R25" s="86"/>
      <c r="S25" s="86"/>
      <c r="T25" s="86"/>
      <c r="U25" s="86"/>
      <c r="V25" s="86"/>
      <c r="W25" s="86"/>
      <c r="X25" s="86"/>
      <c r="Y25" s="86"/>
      <c r="Z25" s="86"/>
      <c r="AA25" s="86"/>
    </row>
    <row r="26" spans="1:27" ht="27.75" customHeight="1">
      <c r="A26" s="86"/>
      <c r="B26" s="86"/>
      <c r="C26" s="314" t="str">
        <f>C17</f>
        <v>Qualified Teacher</v>
      </c>
      <c r="D26" s="473"/>
      <c r="E26" s="1096">
        <f>IF(D17=0,0,P17/195/6.5/D17*1)</f>
        <v>28.679289940828404</v>
      </c>
      <c r="F26" s="1097"/>
      <c r="G26" s="471"/>
      <c r="H26" s="473"/>
      <c r="I26" s="1096">
        <f>IF(D17=0,0,Q17/195/6.5/D17*1)</f>
        <v>28.679289940828404</v>
      </c>
      <c r="J26" s="1102"/>
      <c r="K26" s="86"/>
      <c r="L26" s="86"/>
      <c r="M26" s="86"/>
      <c r="N26" s="86"/>
      <c r="O26" s="86"/>
      <c r="P26" s="86"/>
      <c r="Q26" s="86"/>
      <c r="R26" s="86"/>
      <c r="S26" s="86"/>
      <c r="T26" s="86"/>
      <c r="U26" s="86"/>
      <c r="V26" s="86"/>
      <c r="W26" s="86"/>
      <c r="X26" s="86"/>
      <c r="Y26" s="86"/>
      <c r="Z26" s="86"/>
      <c r="AA26" s="86"/>
    </row>
    <row r="27" spans="1:27" ht="27.75" customHeight="1">
      <c r="A27" s="86"/>
      <c r="B27" s="86"/>
      <c r="C27" s="314" t="str">
        <f>C18</f>
        <v>Unqualified Teacher</v>
      </c>
      <c r="D27" s="473"/>
      <c r="E27" s="1096">
        <f>IF(D18=0,0,P18/195/6.5/D18*1)</f>
        <v>0</v>
      </c>
      <c r="F27" s="1097"/>
      <c r="G27" s="471"/>
      <c r="H27" s="473"/>
      <c r="I27" s="1096">
        <f>IF(D18=0,0,Q18/195/6.5/D18*1)</f>
        <v>0</v>
      </c>
      <c r="J27" s="1102"/>
      <c r="K27" s="86"/>
      <c r="L27" s="86"/>
      <c r="M27" s="86"/>
      <c r="N27" s="86"/>
      <c r="O27" s="86"/>
      <c r="P27" s="86"/>
      <c r="Q27" s="86"/>
      <c r="R27" s="86"/>
      <c r="S27" s="86"/>
      <c r="T27" s="86"/>
      <c r="U27" s="86"/>
      <c r="V27" s="86"/>
      <c r="W27" s="86"/>
      <c r="X27" s="86"/>
      <c r="Y27" s="86"/>
      <c r="Z27" s="86"/>
      <c r="AA27" s="86"/>
    </row>
    <row r="28" spans="1:27" ht="15" customHeight="1" thickBot="1">
      <c r="A28" s="86"/>
      <c r="B28" s="86"/>
      <c r="C28" s="315"/>
      <c r="D28" s="474"/>
      <c r="E28" s="475"/>
      <c r="F28" s="475"/>
      <c r="G28" s="472"/>
      <c r="H28" s="474"/>
      <c r="I28" s="475"/>
      <c r="J28" s="472"/>
      <c r="K28" s="86"/>
      <c r="L28" s="86"/>
      <c r="M28" s="86"/>
      <c r="N28" s="86"/>
      <c r="O28" s="86"/>
      <c r="P28" s="86"/>
      <c r="Q28" s="86"/>
      <c r="R28" s="86"/>
      <c r="S28" s="86"/>
      <c r="T28" s="86"/>
      <c r="U28" s="86"/>
      <c r="V28" s="86"/>
      <c r="W28" s="86"/>
      <c r="X28" s="86"/>
      <c r="Y28" s="86"/>
      <c r="Z28" s="86"/>
      <c r="AA28" s="86"/>
    </row>
    <row r="29" spans="1:27" ht="15">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row>
    <row r="30" spans="1:27" ht="15">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row>
    <row r="31" spans="1:27" ht="15">
      <c r="A31" s="86"/>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row>
    <row r="32" spans="1:27" ht="1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row>
    <row r="33" spans="1:27" ht="15">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row>
    <row r="34" spans="1:27" ht="15">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row>
    <row r="35" spans="1:27" ht="15">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row>
    <row r="36" spans="1:27" ht="15">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row>
    <row r="37" spans="1:27" ht="15">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row>
    <row r="38" spans="1:27" ht="15">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row>
    <row r="39" spans="1:27" ht="15">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row>
    <row r="40" spans="1:27" ht="15">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row>
    <row r="41" spans="1:27" ht="15">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row>
    <row r="42" spans="1:27" ht="15">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row>
    <row r="43" spans="1:27" ht="15">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row>
    <row r="44" spans="1:27" ht="15">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row>
    <row r="45" spans="1:27" ht="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row>
    <row r="46" spans="1:27" ht="15">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row>
    <row r="47" spans="1:27" ht="15">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row>
    <row r="48" spans="1:27" ht="1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row>
    <row r="49" spans="1:27" ht="15">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row>
    <row r="50" spans="1:27" ht="15">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row>
    <row r="51" spans="1:27" ht="15">
      <c r="A51" s="86"/>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row>
    <row r="52" spans="1:27" ht="15">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row>
  </sheetData>
  <sheetProtection password="DD49" sheet="1" objects="1" scenarios="1"/>
  <mergeCells count="12">
    <mergeCell ref="E27:F27"/>
    <mergeCell ref="I23:J23"/>
    <mergeCell ref="I24:J24"/>
    <mergeCell ref="I25:J25"/>
    <mergeCell ref="I26:J26"/>
    <mergeCell ref="I27:J27"/>
    <mergeCell ref="E23:F23"/>
    <mergeCell ref="E24:F24"/>
    <mergeCell ref="E25:F25"/>
    <mergeCell ref="I1:M1"/>
    <mergeCell ref="E26:F26"/>
    <mergeCell ref="I8:J8"/>
  </mergeCells>
  <conditionalFormatting sqref="C6">
    <cfRule type="cellIs" priority="1" dxfId="1" operator="equal" stopIfTrue="1">
      <formula>0</formula>
    </cfRule>
  </conditionalFormatting>
  <dataValidations count="25">
    <dataValidation allowBlank="1" showInputMessage="1" showErrorMessage="1" promptTitle="FINANCIAL YEAR ENTRY FIELD" prompt="&#10;Enter the relevant financial year here.  This only needs to be entered once and will be read by appropriate cells throughout the budget plan." sqref="I8"/>
    <dataValidation type="decimal" operator="lessThanOrEqual" allowBlank="1" showInputMessage="1" showErrorMessage="1" promptTitle="SPINAL POINT ENTRY FIELD" prompt="&#10;Enter the appropriate HEADTEACHER spinal point here.  Salary values are stored on the 'Salary Scales' sheet and will be selected automatically in accordance with the point entered here. &#10;" sqref="E14">
      <formula1>40</formula1>
    </dataValidation>
    <dataValidation type="decimal" operator="lessThanOrEqual" allowBlank="1" showInputMessage="1" showErrorMessage="1" promptTitle="SPINAL POINT ENTRY FIELD" prompt="&#10;Enter the appropriate DEPUTY HEADTEACHER spinal point here.  Salary values are stored on the 'Salary Scales' sheet and will be selected automatically in accordance with the point entered here. " sqref="E15">
      <formula1>40</formula1>
    </dataValidation>
    <dataValidation type="whole" operator="greaterThanOrEqual" allowBlank="1" showInputMessage="1" showErrorMessage="1" promptTitle="MISC. PAYMENTS ENTRY FIELD" prompt="&#10;Enter the actual value of any miscellaneous payments here." sqref="I14:I18">
      <formula1>0</formula1>
    </dataValidation>
    <dataValidation errorStyle="warning" type="custom" allowBlank="1" showInputMessage="1" showErrorMessage="1" errorTitle="WARNING!" error="&#10;This cell contains an essential formula!  Overwriting or deleting this formula may adversely affect the whole document.&#10;&#10;Only continue if this is your intention.&#10;&#10;CLICK 'Cancel' IF YOU DO NOT WISH TO PROCEED." sqref="L17:M17 K19:N19 O14:R19 N14:N17">
      <formula1>"NO CHANGE ADVISED"</formula1>
    </dataValidation>
    <dataValidation type="custom" allowBlank="1" showInputMessage="1" showErrorMessage="1" errorTitle="STOP!" error="&#10;This cell has an automatic link, or is formatted to provide information without user input.&#10;&#10;Only continue if you wish to overwrite this.&#10;&#10;CLICK 'Cancel' IF YOU DO NOT WISH TO PROCEED.&#10;" sqref="S5:S6">
      <formula1>"NO INPUT REQUIRED"</formula1>
    </dataValidation>
    <dataValidation type="decimal" operator="lessThanOrEqual" allowBlank="1" showInputMessage="1" showErrorMessage="1" promptTitle="ON-COST % ENTRY FIELD" prompt="&#10;Enter the % on-cost here.  This field is to ensure employers contributions towards N.I. and pension funds are considered in your staff costings.&#10;" sqref="J14:J18">
      <formula1>50</formula1>
    </dataValidation>
    <dataValidation type="decimal" operator="lessThanOrEqual" allowBlank="1" showInputMessage="1" showErrorMessage="1" promptTitle="F.T.E. ENTRY FIELD" prompt="&#10;F.T.E. stands for FULL TIME EQUIVALENT.  Enter the proportion of full time worked here.  E.g. Full time (32.5 hours/week) would be entered as 1.  Half time (16.25 hours/week) would be entered as 0.5." sqref="D14:D18">
      <formula1>35</formula1>
    </dataValidation>
    <dataValidation type="custom" allowBlank="1" showInputMessage="1" showErrorMessage="1" errorTitle="FIXED SYMBOL" sqref="K2:M3 C2:C3">
      <formula1>"NO CHANGE REQUIRED"</formula1>
    </dataValidation>
    <dataValidation type="whole" operator="greaterThanOrEqual" allowBlank="1" showInputMessage="1" showErrorMessage="1" promptTitle="ENTER ANNUAL FLAT-RATE ALLOWANCE" prompt="&#10;Enter the FULL annual flat-rate allowance amount here.  The spreadsheet will calculate the appropriate amount payable for this teacher for this period." sqref="H17">
      <formula1>0</formula1>
    </dataValidation>
    <dataValidation type="whole" allowBlank="1" showInputMessage="1" showErrorMessage="1" promptTitle="ADVANCED SKILLS TEACHER?" prompt="&#10;If this teacher is to be paid on the 'Advanced Skills' pay spine you should enter '1' against their name in this column.  The spreadsheet will calculate a salary on the appropriate pay range.&#10;&#10;Leave as '0' if not.&#10;" sqref="F17">
      <formula1>0</formula1>
      <formula2>1</formula2>
    </dataValidation>
    <dataValidation type="custom" allowBlank="1" showInputMessage="1" showErrorMessage="1" promptTitle="NO INPUT REQUIRED!" prompt="&#10;This cell has no function.  No input is required." sqref="F14:H16 F18:G18">
      <formula1>"NO CHANGE ADVISED"</formula1>
    </dataValidation>
    <dataValidation type="custom" allowBlank="1" showInputMessage="1" showErrorMessage="1" sqref="D6">
      <formula1>"NO CHANGE ALLOWED"</formula1>
    </dataValidation>
    <dataValidation type="custom" allowBlank="1" showInputMessage="1" showErrorMessage="1" errorTitle="COPYRIGHT PROTECTION!" error="&#10;Tampering with this cell puts you in breach of copyright laws.&#10;&#10;Click 'Cancel' to end." sqref="D7 R7:S7">
      <formula1>"COPYRIGHT PROTECTION"</formula1>
    </dataValidation>
    <dataValidation allowBlank="1" showInputMessage="1" showErrorMessage="1" errorTitle="COPYRIGHT PROTECTION!" error="&#10;Tampering with this cell puts you in breach of copyright laws.&#10;&#10;Click 'Cancel' to end." sqref="F7:G7"/>
    <dataValidation type="whole" allowBlank="1" showInputMessage="1" showErrorMessage="1" promptTitle="UPPER PAY SPINE TEACHER?(U.P.S.)" prompt="&#10;If this teacher is to be paid on the 'Upper Pay Spine' (U.P.S.) you should enter '1' against their name in this column.  The spreadsheet will calculate a salary on the appropriate pay range.&#10;&#10;Leave as '0' if not an 'Upper Pay Spine' teacher." sqref="G17">
      <formula1>0</formula1>
      <formula2>1</formula2>
    </dataValidation>
    <dataValidation type="decimal" operator="lessThanOrEqual" allowBlank="1" showInputMessage="1" showErrorMessage="1" promptTitle="SPINAL POINT ENTRY FIELD" prompt="&#10;Enter the appropriate LEADERSHIP TEACHER spinal point here.  Salary values are stored on the 'Salary Scales' sheet and will be selected automatically in accordance with the point entered here. " sqref="E16">
      <formula1>40</formula1>
    </dataValidation>
    <dataValidation type="decimal" operator="lessThanOrEqual" allowBlank="1" showInputMessage="1" showErrorMessage="1" promptTitle="SPINAL POINT ENTRY FIELD" prompt="&#10;Enter the appropriate COMMON PAY, ADVANCED SKILLS or UPPER PAY SPINE point here.  Salary values are stored on the 'Salary Scales' sheet and will be selected automatically in accordance with the point entered here. " errorTitle="NO HIGHER THAN 9." error="&#10;The spine point entered here should be no higher than 9.&#10;&#10;Please click 'Cancel' and try again." sqref="E17">
      <formula1>27</formula1>
    </dataValidation>
    <dataValidation type="custom" allowBlank="1" showInputMessage="1" showErrorMessage="1" promptTitle="NO INPUT REQUIRED" prompt="&#10;This cell has no function.  No input is required." sqref="L14:M16 L18:M18">
      <formula1>"NO CHANGE ADVISED"</formula1>
    </dataValidation>
    <dataValidation errorStyle="warning" type="custom" allowBlank="1" showInputMessage="1" showErrorMessage="1" errorTitle="FIXED TITLE" error="This cell contains a fixed title to correspond with the function of the column.  Changing it is not advised.&#10;&#10;CLICK 'Cancel' to exit." sqref="C7">
      <formula1>"NO CHANGE ADVISED"</formula1>
    </dataValidation>
    <dataValidation type="custom" allowBlank="1" showInputMessage="1" showErrorMessage="1" sqref="C5:D5 C9 I4:J4 C11:D11 E10:Q12 L4:M4 C14 C16">
      <formula1>"NO CHANGE ADVISED"</formula1>
    </dataValidation>
    <dataValidation type="custom" allowBlank="1" showInputMessage="1" showErrorMessage="1" errorTitle="COPYRIGHT PROTECTION!" error="&#10;Tampering with this cell puts you in breach of copyright laws.&#10;&#10;Click 'Cancel' to end." sqref="M6">
      <formula1>"COPYRIGHT PROTECTION!"</formula1>
    </dataValidation>
    <dataValidation type="decimal" operator="lessThanOrEqual" allowBlank="1" showInputMessage="1" showErrorMessage="1" promptTitle="SPINAL POINT ENTRY FIELD" prompt="&#10;Enter the appropriate UNQUALIFIED PAY SPINE point here.  Salary values are stored on the 'Salary Scales' sheet and will be selected automatically in accordance with the point entered here. " errorTitle="NO HIGHER THAN 9." error="&#10;The spine point entered here should be no higher than 9.&#10;&#10;Please click 'Cancel' and try again." sqref="E18">
      <formula1>10</formula1>
    </dataValidation>
    <dataValidation type="whole" operator="greaterThanOrEqual" allowBlank="1" showInputMessage="1" showErrorMessage="1" promptTitle="ENTER ANNUAL FLAT-RATE ALLOWANCE" prompt="&#10;Enter the FULL annual flat-rate allowance amount here.  The spreadsheet will calculate the appropriate amount payable for this teacher for this period. (If applicable)" sqref="H18">
      <formula1>0</formula1>
    </dataValidation>
    <dataValidation type="custom" allowBlank="1" showInputMessage="1" showErrorMessage="1" sqref="U14:U18 D22 H22 K14:K18 C23:J27">
      <formula1>"NO CHANGE"</formula1>
    </dataValidation>
  </dataValidations>
  <hyperlinks>
    <hyperlink ref="I1:M1" location="'Teachers Statement'!A1" tooltip="Go to Teachers salary statement sheet" display="TO TEACHERS STATEMENT"/>
    <hyperlink ref="F1" location="INDEX!A1" tooltip="Go to Index" display="INDEX"/>
  </hyperlinks>
  <printOptions horizontalCentered="1"/>
  <pageMargins left="0.03937007874015748" right="0.03937007874015748" top="0.15748031496062992" bottom="0.15748031496062992" header="0.5118110236220472" footer="0.5118110236220472"/>
  <pageSetup blackAndWhite="1" fitToHeight="1" fitToWidth="1" horizontalDpi="600" verticalDpi="600" orientation="landscape" scale="7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E69"/>
  <sheetViews>
    <sheetView showGridLines="0" showRowColHeaders="0" showOutlineSymbols="0" zoomScale="75" zoomScaleNormal="75" workbookViewId="0" topLeftCell="A1">
      <pane ySplit="1" topLeftCell="BM2" activePane="bottomLeft" state="frozen"/>
      <selection pane="topLeft" activeCell="K12" sqref="K12:L12"/>
      <selection pane="bottomLeft" activeCell="F1" sqref="F1"/>
    </sheetView>
  </sheetViews>
  <sheetFormatPr defaultColWidth="8.6640625" defaultRowHeight="15" zeroHeight="1"/>
  <cols>
    <col min="1" max="1" width="1.66796875" style="6" customWidth="1"/>
    <col min="2" max="2" width="0.78125" style="6" customWidth="1"/>
    <col min="3" max="3" width="16.77734375" style="6" customWidth="1"/>
    <col min="4" max="4" width="5.77734375" style="6" customWidth="1"/>
    <col min="5" max="6" width="6.77734375" style="6" customWidth="1"/>
    <col min="7" max="7" width="9.10546875" style="6" hidden="1" customWidth="1"/>
    <col min="8" max="11" width="7.3359375" style="6" customWidth="1"/>
    <col min="12" max="12" width="7.77734375" style="6" customWidth="1"/>
    <col min="13" max="13" width="5.77734375" style="6" customWidth="1"/>
    <col min="14" max="14" width="5.77734375" style="6" hidden="1" customWidth="1"/>
    <col min="15" max="19" width="11.77734375" style="6" customWidth="1"/>
    <col min="20" max="20" width="7.6640625" style="6" hidden="1" customWidth="1"/>
    <col min="21" max="21" width="11.77734375" style="6" customWidth="1"/>
    <col min="22" max="22" width="0.78125" style="6" customWidth="1"/>
    <col min="23" max="23" width="1.66796875" style="6" customWidth="1"/>
    <col min="24" max="31" width="11.4453125" style="6" customWidth="1"/>
    <col min="32" max="16384" width="11.4453125" style="6" hidden="1" customWidth="1"/>
  </cols>
  <sheetData>
    <row r="1" spans="1:31" ht="30" customHeight="1">
      <c r="A1" s="69"/>
      <c r="B1" s="69"/>
      <c r="C1" s="621"/>
      <c r="D1" s="86"/>
      <c r="E1" s="86"/>
      <c r="F1" s="583" t="s">
        <v>244</v>
      </c>
      <c r="G1" s="69"/>
      <c r="H1" s="572"/>
      <c r="I1" s="86"/>
      <c r="J1" s="86"/>
      <c r="K1" s="1098" t="s">
        <v>262</v>
      </c>
      <c r="L1" s="1098"/>
      <c r="M1" s="1098"/>
      <c r="N1" s="1098"/>
      <c r="O1" s="1098"/>
      <c r="P1" s="69"/>
      <c r="Q1" s="69"/>
      <c r="R1" s="69"/>
      <c r="S1" s="69"/>
      <c r="T1" s="69"/>
      <c r="U1" s="69"/>
      <c r="V1" s="69"/>
      <c r="W1" s="69"/>
      <c r="X1" s="69"/>
      <c r="Y1" s="69"/>
      <c r="Z1" s="69"/>
      <c r="AA1" s="69"/>
      <c r="AB1" s="69"/>
      <c r="AC1" s="69"/>
      <c r="AD1" s="69"/>
      <c r="AE1" s="69"/>
    </row>
    <row r="2" spans="1:31" ht="18.75" customHeight="1">
      <c r="A2" s="69"/>
      <c r="B2" s="69"/>
      <c r="C2" s="20"/>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row>
    <row r="3" spans="1:31" ht="5.25" customHeight="1" thickBot="1">
      <c r="A3" s="69"/>
      <c r="B3" s="70"/>
      <c r="C3" s="18"/>
      <c r="D3" s="70"/>
      <c r="E3" s="70"/>
      <c r="F3" s="70"/>
      <c r="G3" s="70"/>
      <c r="H3" s="70"/>
      <c r="I3" s="70"/>
      <c r="J3" s="70"/>
      <c r="K3" s="70"/>
      <c r="L3" s="70"/>
      <c r="M3" s="70"/>
      <c r="N3" s="70"/>
      <c r="O3" s="70"/>
      <c r="P3" s="70"/>
      <c r="Q3" s="70"/>
      <c r="R3" s="70"/>
      <c r="S3" s="70"/>
      <c r="T3" s="70"/>
      <c r="U3" s="70"/>
      <c r="V3" s="70"/>
      <c r="W3" s="69"/>
      <c r="X3" s="69"/>
      <c r="Y3" s="69"/>
      <c r="Z3" s="69"/>
      <c r="AA3" s="69"/>
      <c r="AB3" s="69"/>
      <c r="AC3" s="69"/>
      <c r="AD3" s="69"/>
      <c r="AE3" s="69"/>
    </row>
    <row r="4" spans="1:31" ht="15">
      <c r="A4" s="69"/>
      <c r="B4" s="70"/>
      <c r="C4" s="242"/>
      <c r="D4" s="243"/>
      <c r="E4" s="244" t="str">
        <f ca="1">CELL("filename",B4:B4)</f>
        <v>F:\exceledSiteWebD\systems\[salarycalc.xls]MANUAL COST</v>
      </c>
      <c r="F4" s="243"/>
      <c r="G4" s="243"/>
      <c r="H4" s="243"/>
      <c r="I4" s="243"/>
      <c r="J4" s="243"/>
      <c r="K4" s="243"/>
      <c r="L4" s="243"/>
      <c r="M4" s="243"/>
      <c r="N4" s="243"/>
      <c r="O4" s="243"/>
      <c r="P4" s="243"/>
      <c r="Q4" s="243"/>
      <c r="R4" s="243"/>
      <c r="S4" s="243"/>
      <c r="T4" s="243"/>
      <c r="U4" s="245"/>
      <c r="V4" s="70"/>
      <c r="W4" s="69"/>
      <c r="X4" s="69"/>
      <c r="Y4" s="69"/>
      <c r="Z4" s="69"/>
      <c r="AA4" s="69"/>
      <c r="AB4" s="69"/>
      <c r="AC4" s="69"/>
      <c r="AD4" s="69"/>
      <c r="AE4" s="69"/>
    </row>
    <row r="5" spans="1:31" ht="18">
      <c r="A5" s="69"/>
      <c r="B5" s="70"/>
      <c r="C5" s="629" t="str">
        <f>IF('Terms of Use'!$H$31='Terms of Use'!$O$2,"   **UNAUTHORISED USER!  THIS DOCUMENT WILL NOT CALCULATE ACCURATELY**",0)</f>
        <v>   **UNAUTHORISED USER!  THIS DOCUMENT WILL NOT CALCULATE ACCURATELY**</v>
      </c>
      <c r="D5" s="247"/>
      <c r="E5" s="247"/>
      <c r="F5" s="247"/>
      <c r="G5" s="247"/>
      <c r="H5" s="247"/>
      <c r="I5" s="247"/>
      <c r="J5" s="247"/>
      <c r="K5" s="247"/>
      <c r="L5" s="247"/>
      <c r="M5" s="247"/>
      <c r="N5" s="247"/>
      <c r="O5" s="247"/>
      <c r="P5" s="247"/>
      <c r="Q5" s="247"/>
      <c r="R5" s="247"/>
      <c r="S5" s="247"/>
      <c r="T5" s="247"/>
      <c r="U5" s="248"/>
      <c r="V5" s="70"/>
      <c r="W5" s="69"/>
      <c r="X5" s="69"/>
      <c r="Y5" s="69"/>
      <c r="Z5" s="69"/>
      <c r="AA5" s="69"/>
      <c r="AB5" s="69"/>
      <c r="AC5" s="69"/>
      <c r="AD5" s="69"/>
      <c r="AE5" s="69"/>
    </row>
    <row r="6" spans="1:31" ht="18">
      <c r="A6" s="69"/>
      <c r="B6" s="70"/>
      <c r="C6" s="62" t="s">
        <v>139</v>
      </c>
      <c r="D6" s="247"/>
      <c r="E6" s="247"/>
      <c r="F6" s="247"/>
      <c r="G6" s="247"/>
      <c r="H6" s="247"/>
      <c r="I6" s="247"/>
      <c r="J6" s="247"/>
      <c r="K6" s="247"/>
      <c r="L6" s="139" t="str">
        <f>('TEACHER COST'!$I$8)</f>
        <v>2005/2006</v>
      </c>
      <c r="M6" s="247"/>
      <c r="N6" s="247"/>
      <c r="O6" s="140" t="str">
        <f>('Terms of Use'!$H$31)</f>
        <v>SELECT SCHOOL NAME FROM LIST</v>
      </c>
      <c r="P6" s="247"/>
      <c r="Q6" s="247"/>
      <c r="R6" s="247"/>
      <c r="S6" s="247"/>
      <c r="T6" s="247"/>
      <c r="U6" s="248"/>
      <c r="V6" s="70"/>
      <c r="W6" s="69"/>
      <c r="X6" s="69"/>
      <c r="Y6" s="69"/>
      <c r="Z6" s="69"/>
      <c r="AA6" s="69"/>
      <c r="AB6" s="69"/>
      <c r="AC6" s="69"/>
      <c r="AD6" s="69"/>
      <c r="AE6" s="69"/>
    </row>
    <row r="7" spans="1:31" ht="15.75" thickBot="1">
      <c r="A7" s="69"/>
      <c r="B7" s="70"/>
      <c r="C7" s="246"/>
      <c r="D7" s="247"/>
      <c r="E7" s="247"/>
      <c r="F7" s="247"/>
      <c r="G7" s="247"/>
      <c r="H7" s="247"/>
      <c r="I7" s="247"/>
      <c r="J7" s="247"/>
      <c r="K7" s="247"/>
      <c r="L7" s="247"/>
      <c r="M7" s="247"/>
      <c r="N7" s="247"/>
      <c r="O7" s="166"/>
      <c r="P7" s="421">
        <f>IF('Terms of Use'!$Z$67=0,"INVALID ORGANISATION NAME… DOCUMENT WILL NOT CALCULATE ACCURATELY.  PLEASE TRY AGAIN.",0)</f>
        <v>0</v>
      </c>
      <c r="Q7" s="247"/>
      <c r="R7" s="247"/>
      <c r="S7" s="247"/>
      <c r="T7" s="247"/>
      <c r="U7" s="248"/>
      <c r="V7" s="72"/>
      <c r="W7" s="73"/>
      <c r="X7" s="69"/>
      <c r="Y7" s="69"/>
      <c r="Z7" s="69"/>
      <c r="AA7" s="69"/>
      <c r="AB7" s="69"/>
      <c r="AC7" s="69"/>
      <c r="AD7" s="69"/>
      <c r="AE7" s="69"/>
    </row>
    <row r="8" spans="1:31" ht="16.5" thickBot="1">
      <c r="A8" s="69"/>
      <c r="B8" s="70"/>
      <c r="C8" s="249" t="s">
        <v>128</v>
      </c>
      <c r="D8" s="250"/>
      <c r="E8" s="250"/>
      <c r="F8" s="250"/>
      <c r="G8" s="481" t="s">
        <v>203</v>
      </c>
      <c r="H8" s="250"/>
      <c r="I8" s="250"/>
      <c r="J8" s="250"/>
      <c r="K8" s="250"/>
      <c r="L8" s="250"/>
      <c r="M8" s="250"/>
      <c r="N8" s="481" t="s">
        <v>203</v>
      </c>
      <c r="O8" s="205"/>
      <c r="P8" s="250"/>
      <c r="Q8" s="250"/>
      <c r="R8" s="250"/>
      <c r="S8" s="247"/>
      <c r="T8" s="481" t="s">
        <v>203</v>
      </c>
      <c r="U8" s="248"/>
      <c r="V8" s="70"/>
      <c r="W8" s="69"/>
      <c r="X8" s="69"/>
      <c r="Y8" s="69"/>
      <c r="Z8" s="69"/>
      <c r="AA8" s="69"/>
      <c r="AB8" s="69"/>
      <c r="AC8" s="69"/>
      <c r="AD8" s="69"/>
      <c r="AE8" s="69"/>
    </row>
    <row r="9" spans="1:31" ht="18">
      <c r="A9" s="69"/>
      <c r="B9" s="70"/>
      <c r="C9" s="251"/>
      <c r="D9" s="252"/>
      <c r="E9" s="253" t="s">
        <v>14</v>
      </c>
      <c r="F9" s="253" t="s">
        <v>15</v>
      </c>
      <c r="G9" s="253"/>
      <c r="H9" s="253" t="s">
        <v>132</v>
      </c>
      <c r="I9" s="253" t="s">
        <v>152</v>
      </c>
      <c r="J9" s="253" t="s">
        <v>141</v>
      </c>
      <c r="K9" s="253" t="s">
        <v>31</v>
      </c>
      <c r="L9" s="254" t="s">
        <v>16</v>
      </c>
      <c r="M9" s="255"/>
      <c r="N9" s="256" t="s">
        <v>4</v>
      </c>
      <c r="O9" s="257" t="s">
        <v>4</v>
      </c>
      <c r="P9" s="258" t="s">
        <v>134</v>
      </c>
      <c r="Q9" s="258" t="s">
        <v>8</v>
      </c>
      <c r="R9" s="258" t="s">
        <v>150</v>
      </c>
      <c r="S9" s="257" t="s">
        <v>17</v>
      </c>
      <c r="T9" s="259" t="s">
        <v>3</v>
      </c>
      <c r="U9" s="260" t="s">
        <v>8</v>
      </c>
      <c r="V9" s="70"/>
      <c r="W9" s="69"/>
      <c r="X9" s="69"/>
      <c r="Y9" s="69"/>
      <c r="Z9" s="69"/>
      <c r="AA9" s="69"/>
      <c r="AB9" s="69"/>
      <c r="AC9" s="69"/>
      <c r="AD9" s="69"/>
      <c r="AE9" s="69"/>
    </row>
    <row r="10" spans="1:31" ht="18">
      <c r="A10" s="69"/>
      <c r="B10" s="70"/>
      <c r="C10" s="261"/>
      <c r="D10" s="262" t="s">
        <v>2</v>
      </c>
      <c r="E10" s="263" t="s">
        <v>18</v>
      </c>
      <c r="F10" s="263" t="s">
        <v>18</v>
      </c>
      <c r="G10" s="263"/>
      <c r="H10" s="263" t="s">
        <v>15</v>
      </c>
      <c r="I10" s="263" t="s">
        <v>15</v>
      </c>
      <c r="J10" s="263" t="s">
        <v>142</v>
      </c>
      <c r="K10" s="263" t="s">
        <v>32</v>
      </c>
      <c r="L10" s="247" t="s">
        <v>3</v>
      </c>
      <c r="M10" s="264" t="s">
        <v>5</v>
      </c>
      <c r="N10" s="265" t="s">
        <v>19</v>
      </c>
      <c r="O10" s="266" t="s">
        <v>8</v>
      </c>
      <c r="P10" s="267" t="s">
        <v>114</v>
      </c>
      <c r="Q10" s="267" t="s">
        <v>142</v>
      </c>
      <c r="R10" s="267" t="s">
        <v>151</v>
      </c>
      <c r="S10" s="266" t="s">
        <v>8</v>
      </c>
      <c r="T10" s="268" t="s">
        <v>20</v>
      </c>
      <c r="U10" s="269" t="s">
        <v>11</v>
      </c>
      <c r="V10" s="70"/>
      <c r="W10" s="69"/>
      <c r="X10" s="69"/>
      <c r="Y10" s="69"/>
      <c r="Z10" s="69"/>
      <c r="AA10" s="69"/>
      <c r="AB10" s="69"/>
      <c r="AC10" s="69"/>
      <c r="AD10" s="69"/>
      <c r="AE10" s="69"/>
    </row>
    <row r="11" spans="1:31" ht="18.75" thickBot="1">
      <c r="A11" s="69"/>
      <c r="B11" s="70"/>
      <c r="C11" s="454"/>
      <c r="D11" s="271" t="s">
        <v>6</v>
      </c>
      <c r="E11" s="272" t="s">
        <v>21</v>
      </c>
      <c r="F11" s="272" t="s">
        <v>22</v>
      </c>
      <c r="G11" s="272"/>
      <c r="H11" s="274" t="s">
        <v>83</v>
      </c>
      <c r="I11" s="274" t="s">
        <v>83</v>
      </c>
      <c r="J11" s="274" t="s">
        <v>14</v>
      </c>
      <c r="K11" s="273"/>
      <c r="L11" s="275"/>
      <c r="M11" s="276"/>
      <c r="N11" s="277" t="s">
        <v>23</v>
      </c>
      <c r="O11" s="278" t="s">
        <v>11</v>
      </c>
      <c r="P11" s="279" t="s">
        <v>32</v>
      </c>
      <c r="Q11" s="279" t="s">
        <v>83</v>
      </c>
      <c r="R11" s="279" t="s">
        <v>83</v>
      </c>
      <c r="S11" s="631" t="s">
        <v>11</v>
      </c>
      <c r="T11" s="277"/>
      <c r="U11" s="280" t="s">
        <v>143</v>
      </c>
      <c r="V11" s="70"/>
      <c r="W11" s="69"/>
      <c r="X11" s="69"/>
      <c r="Y11" s="69"/>
      <c r="Z11" s="69"/>
      <c r="AA11" s="69"/>
      <c r="AB11" s="69"/>
      <c r="AC11" s="69"/>
      <c r="AD11" s="69"/>
      <c r="AE11" s="69"/>
    </row>
    <row r="12" spans="1:31" ht="18.75" thickBot="1">
      <c r="A12" s="69"/>
      <c r="B12" s="71"/>
      <c r="C12" s="281"/>
      <c r="D12" s="282"/>
      <c r="E12" s="283"/>
      <c r="F12" s="284"/>
      <c r="G12" s="284"/>
      <c r="H12" s="284"/>
      <c r="I12" s="284"/>
      <c r="J12" s="284"/>
      <c r="K12" s="284"/>
      <c r="L12" s="285"/>
      <c r="M12" s="286"/>
      <c r="N12" s="287"/>
      <c r="O12" s="288"/>
      <c r="P12" s="289"/>
      <c r="Q12" s="289"/>
      <c r="R12" s="289"/>
      <c r="S12" s="632"/>
      <c r="T12" s="290"/>
      <c r="U12" s="291"/>
      <c r="V12" s="70"/>
      <c r="W12" s="69"/>
      <c r="X12" s="318"/>
      <c r="Y12" s="69"/>
      <c r="Z12" s="69"/>
      <c r="AA12" s="69"/>
      <c r="AB12" s="69"/>
      <c r="AC12" s="69"/>
      <c r="AD12" s="69"/>
      <c r="AE12" s="69"/>
    </row>
    <row r="13" spans="1:31" ht="27.75" customHeight="1" thickBot="1">
      <c r="A13" s="69"/>
      <c r="B13" s="71"/>
      <c r="C13" s="62" t="s">
        <v>140</v>
      </c>
      <c r="D13" s="705">
        <v>0</v>
      </c>
      <c r="E13" s="706">
        <v>0</v>
      </c>
      <c r="F13" s="707">
        <v>0</v>
      </c>
      <c r="G13" s="665">
        <f>IF(F13&gt;46,0,(H13/40*F13*E13))</f>
        <v>0</v>
      </c>
      <c r="H13" s="666">
        <v>0</v>
      </c>
      <c r="I13" s="317" t="s">
        <v>82</v>
      </c>
      <c r="J13" s="703">
        <v>0</v>
      </c>
      <c r="K13" s="702"/>
      <c r="L13" s="704"/>
      <c r="M13" s="292">
        <f>SUM((E13*F13)+(G13))/('Salary Scales'!$I$8*52)</f>
        <v>0</v>
      </c>
      <c r="N13" s="483">
        <f>IF(M13&lt;0.01,0,(VLOOKUP(D13,'Salary Scales'!$C$129:$D$159,2)))</f>
        <v>0</v>
      </c>
      <c r="O13" s="484">
        <f>IF(AND($E13='Salary Scales'!I8,$F13=52),(VLOOKUP($D$13,'Salary Scales'!$F$74:$G$122,2)),($N13*SUM(H13+($E13*F13))))</f>
        <v>0</v>
      </c>
      <c r="P13" s="294">
        <f>IF(AND($E13='Salary Scales'!I8,$F13=52),SUM('Salary Scales'!$M$100+'Salary Scales'!$M$111),('Salary Scales'!$F$133*(SUM($H13+($E13*$F13)))))</f>
        <v>0</v>
      </c>
      <c r="Q13" s="295">
        <f>IF(OR(D13&gt;21,D13=0),0,(J13/'Salary Scales'!$I$8*E13*F13*(VLOOKUP(D13,'Salary Scales'!K$129:L$134,2))))</f>
        <v>0</v>
      </c>
      <c r="R13" s="298" t="s">
        <v>82</v>
      </c>
      <c r="S13" s="294">
        <f>SUM(O13:Q13)+K13</f>
        <v>0</v>
      </c>
      <c r="T13" s="296">
        <f>(S13)/100*L13</f>
        <v>0</v>
      </c>
      <c r="U13" s="297">
        <f>S13+T13</f>
        <v>0</v>
      </c>
      <c r="V13" s="70"/>
      <c r="W13" s="69"/>
      <c r="X13" s="319" t="s">
        <v>140</v>
      </c>
      <c r="Y13" s="69"/>
      <c r="Z13" s="69"/>
      <c r="AA13" s="69"/>
      <c r="AB13" s="69"/>
      <c r="AC13" s="69"/>
      <c r="AD13" s="69"/>
      <c r="AE13" s="69"/>
    </row>
    <row r="14" spans="1:31" ht="27.75" customHeight="1" thickBot="1">
      <c r="A14" s="69"/>
      <c r="B14" s="71"/>
      <c r="C14" s="62" t="s">
        <v>24</v>
      </c>
      <c r="D14" s="705">
        <v>4</v>
      </c>
      <c r="E14" s="706">
        <v>12</v>
      </c>
      <c r="F14" s="707">
        <v>52</v>
      </c>
      <c r="G14" s="665">
        <f>IF(F14&gt;46,0,(H14/40*F14*E14))</f>
        <v>0</v>
      </c>
      <c r="H14" s="708">
        <v>0</v>
      </c>
      <c r="I14" s="317" t="s">
        <v>82</v>
      </c>
      <c r="J14" s="703">
        <v>0</v>
      </c>
      <c r="K14" s="702"/>
      <c r="L14" s="704"/>
      <c r="M14" s="292">
        <f>SUM((E14*F14)+(G14))/('Salary Scales'!$I$8*52)</f>
        <v>0.3333333333333333</v>
      </c>
      <c r="N14" s="483">
        <f>IF(M14&lt;0.01,0,(VLOOKUP(D14,'Salary Scales'!$C$129:$D$159,2)))</f>
        <v>7.028846153846154</v>
      </c>
      <c r="O14" s="484">
        <f>IF(AND($E14='Salary Scales'!I8,$F14=52),(VLOOKUP($D$14,'Salary Scales'!$F$74:$G$122,2)),($N14*SUM(H14+($E14*F14))))</f>
        <v>4386</v>
      </c>
      <c r="P14" s="294">
        <f>IF(AND($E14='Salary Scales'!I8,$F14=52),SUM('Salary Scales'!$M$100+'Salary Scales'!$M$111),('Salary Scales'!$F$133*(SUM($H14+($E14*$F14)))))</f>
        <v>0</v>
      </c>
      <c r="Q14" s="295">
        <f>IF(D14=0,0,(J14/'Salary Scales'!$I$8*E14*F14*(VLOOKUP(D14,'Salary Scales'!K$129:L$134,2))))</f>
        <v>0</v>
      </c>
      <c r="R14" s="298" t="s">
        <v>82</v>
      </c>
      <c r="S14" s="294">
        <f>SUM(O14:Q14)+K14</f>
        <v>4386</v>
      </c>
      <c r="T14" s="296">
        <f>(S14)/100*L14</f>
        <v>0</v>
      </c>
      <c r="U14" s="297">
        <f>S14+T14</f>
        <v>4386</v>
      </c>
      <c r="V14" s="70"/>
      <c r="W14" s="69"/>
      <c r="X14" s="319" t="s">
        <v>24</v>
      </c>
      <c r="Y14" s="69"/>
      <c r="Z14" s="69"/>
      <c r="AA14" s="69"/>
      <c r="AB14" s="69"/>
      <c r="AC14" s="69"/>
      <c r="AD14" s="69"/>
      <c r="AE14" s="69"/>
    </row>
    <row r="15" spans="1:31" ht="27.75" customHeight="1" thickBot="1">
      <c r="A15" s="69"/>
      <c r="B15" s="71"/>
      <c r="C15" s="62" t="s">
        <v>25</v>
      </c>
      <c r="D15" s="705">
        <v>5</v>
      </c>
      <c r="E15" s="706">
        <v>0</v>
      </c>
      <c r="F15" s="707">
        <v>0</v>
      </c>
      <c r="G15" s="709" t="s">
        <v>82</v>
      </c>
      <c r="H15" s="710">
        <v>0</v>
      </c>
      <c r="I15" s="321">
        <f>IF(F15=0,0,IF(H15=0,0,(52-(F15+H15))/2))</f>
        <v>0</v>
      </c>
      <c r="J15" s="317" t="s">
        <v>82</v>
      </c>
      <c r="K15" s="702"/>
      <c r="L15" s="704"/>
      <c r="M15" s="292">
        <f>E15*F15/('Salary Scales'!$I$8*52)</f>
        <v>0</v>
      </c>
      <c r="N15" s="293">
        <f>IF(M15&lt;0.01,0,(VLOOKUP(D15,'Salary Scales'!$C$129:$D$159,2)))</f>
        <v>0</v>
      </c>
      <c r="O15" s="294">
        <f>N15*(SUM((H15*E15)+(E15*F15)))</f>
        <v>0</v>
      </c>
      <c r="P15" s="295">
        <f>('Salary Scales'!F$133*(SUM(H15*E15)+(E15*F15)))</f>
        <v>0</v>
      </c>
      <c r="Q15" s="298" t="s">
        <v>82</v>
      </c>
      <c r="R15" s="295">
        <f>(I15*E15)*SUM(N15+'Salary Scales'!F133)</f>
        <v>0</v>
      </c>
      <c r="S15" s="294">
        <f>SUM(O15+P15+R15)+K15</f>
        <v>0</v>
      </c>
      <c r="T15" s="296">
        <f>(S15)/100*L15</f>
        <v>0</v>
      </c>
      <c r="U15" s="297">
        <f>S15+T15</f>
        <v>0</v>
      </c>
      <c r="V15" s="70"/>
      <c r="W15" s="69"/>
      <c r="X15" s="319" t="s">
        <v>25</v>
      </c>
      <c r="Y15" s="69"/>
      <c r="Z15" s="69"/>
      <c r="AA15" s="69"/>
      <c r="AB15" s="69"/>
      <c r="AC15" s="69"/>
      <c r="AD15" s="69"/>
      <c r="AE15" s="69"/>
    </row>
    <row r="16" spans="1:31" ht="18.75" thickBot="1">
      <c r="A16" s="69"/>
      <c r="B16" s="71"/>
      <c r="C16" s="270"/>
      <c r="D16" s="307"/>
      <c r="E16" s="305"/>
      <c r="F16" s="308"/>
      <c r="G16" s="308"/>
      <c r="H16" s="305"/>
      <c r="I16" s="305"/>
      <c r="J16" s="305"/>
      <c r="K16" s="305"/>
      <c r="L16" s="306"/>
      <c r="M16" s="299"/>
      <c r="N16" s="300"/>
      <c r="O16" s="301"/>
      <c r="P16" s="302"/>
      <c r="Q16" s="302"/>
      <c r="R16" s="302"/>
      <c r="S16" s="633"/>
      <c r="T16" s="303"/>
      <c r="U16" s="304"/>
      <c r="V16" s="70"/>
      <c r="W16" s="69"/>
      <c r="X16" s="320"/>
      <c r="Y16" s="69"/>
      <c r="Z16" s="69"/>
      <c r="AA16" s="69"/>
      <c r="AB16" s="69"/>
      <c r="AC16" s="69"/>
      <c r="AD16" s="69"/>
      <c r="AE16" s="69"/>
    </row>
    <row r="17" spans="1:31" ht="5.25" customHeight="1">
      <c r="A17" s="69"/>
      <c r="B17" s="70"/>
      <c r="C17" s="70"/>
      <c r="D17" s="70"/>
      <c r="E17" s="70"/>
      <c r="F17" s="70"/>
      <c r="G17" s="70"/>
      <c r="H17" s="70"/>
      <c r="I17" s="70"/>
      <c r="J17" s="70"/>
      <c r="K17" s="70"/>
      <c r="L17" s="70"/>
      <c r="M17" s="70"/>
      <c r="N17" s="70"/>
      <c r="O17" s="70"/>
      <c r="P17" s="70"/>
      <c r="Q17" s="70"/>
      <c r="R17" s="70"/>
      <c r="S17" s="70"/>
      <c r="T17" s="70"/>
      <c r="U17" s="70"/>
      <c r="V17" s="70"/>
      <c r="W17" s="69"/>
      <c r="X17" s="69"/>
      <c r="Y17" s="69"/>
      <c r="Z17" s="69"/>
      <c r="AA17" s="69"/>
      <c r="AB17" s="69"/>
      <c r="AC17" s="69"/>
      <c r="AD17" s="69"/>
      <c r="AE17" s="69"/>
    </row>
    <row r="18" spans="1:31" ht="15">
      <c r="A18" s="143"/>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row>
    <row r="19" spans="1:31" ht="15">
      <c r="A19" s="142"/>
      <c r="B19" s="143"/>
      <c r="C19" s="143"/>
      <c r="D19" s="482">
        <f>'APTC COST'!P21</f>
        <v>5.22</v>
      </c>
      <c r="E19" s="143"/>
      <c r="F19" s="143"/>
      <c r="G19" s="143"/>
      <c r="H19" s="143"/>
      <c r="I19" s="143"/>
      <c r="J19" s="143"/>
      <c r="K19" s="143"/>
      <c r="L19" s="143"/>
      <c r="M19" s="143"/>
      <c r="N19" s="143"/>
      <c r="O19" s="143"/>
      <c r="P19" s="143"/>
      <c r="Q19" s="143"/>
      <c r="R19" s="143"/>
      <c r="S19" s="143"/>
      <c r="T19" s="143"/>
      <c r="U19" s="143"/>
      <c r="V19" s="143"/>
      <c r="W19" s="69"/>
      <c r="X19" s="69"/>
      <c r="Y19" s="69"/>
      <c r="Z19" s="69"/>
      <c r="AA19" s="69"/>
      <c r="AB19" s="69"/>
      <c r="AC19" s="69"/>
      <c r="AD19" s="69"/>
      <c r="AE19" s="69"/>
    </row>
    <row r="20" spans="1:31" ht="15">
      <c r="A20" s="142"/>
      <c r="B20" s="143"/>
      <c r="C20" s="143"/>
      <c r="D20" s="482">
        <f>'APTC COST'!P22</f>
        <v>5.61</v>
      </c>
      <c r="E20" s="143"/>
      <c r="F20" s="143"/>
      <c r="G20" s="143"/>
      <c r="H20" s="143"/>
      <c r="I20" s="143"/>
      <c r="J20" s="143"/>
      <c r="K20" s="143"/>
      <c r="L20" s="143"/>
      <c r="M20" s="143"/>
      <c r="N20" s="143"/>
      <c r="O20" s="143"/>
      <c r="P20" s="143"/>
      <c r="Q20" s="143"/>
      <c r="R20" s="143"/>
      <c r="S20" s="143"/>
      <c r="T20" s="143"/>
      <c r="U20" s="143"/>
      <c r="V20" s="143"/>
      <c r="W20" s="69"/>
      <c r="X20" s="69"/>
      <c r="Y20" s="69"/>
      <c r="Z20" s="69"/>
      <c r="AA20" s="69"/>
      <c r="AB20" s="69"/>
      <c r="AC20" s="69"/>
      <c r="AD20" s="69"/>
      <c r="AE20" s="69"/>
    </row>
    <row r="21" spans="1:31" ht="15">
      <c r="A21" s="142"/>
      <c r="B21" s="143"/>
      <c r="C21" s="143"/>
      <c r="D21" s="482">
        <f>'APTC COST'!P23</f>
        <v>6.02</v>
      </c>
      <c r="E21" s="143"/>
      <c r="F21" s="143"/>
      <c r="G21" s="143"/>
      <c r="H21" s="143"/>
      <c r="I21" s="143"/>
      <c r="J21" s="143"/>
      <c r="K21" s="143"/>
      <c r="L21" s="143"/>
      <c r="M21" s="143"/>
      <c r="N21" s="143"/>
      <c r="O21" s="143"/>
      <c r="P21" s="143"/>
      <c r="Q21" s="143"/>
      <c r="R21" s="143"/>
      <c r="S21" s="143"/>
      <c r="T21" s="143"/>
      <c r="U21" s="143"/>
      <c r="V21" s="143"/>
      <c r="W21" s="69"/>
      <c r="X21" s="69"/>
      <c r="Y21" s="69"/>
      <c r="Z21" s="69"/>
      <c r="AA21" s="69"/>
      <c r="AB21" s="69"/>
      <c r="AC21" s="69"/>
      <c r="AD21" s="69"/>
      <c r="AE21" s="69"/>
    </row>
    <row r="22" spans="1:31" ht="15">
      <c r="A22" s="142"/>
      <c r="B22" s="143"/>
      <c r="C22" s="143"/>
      <c r="D22" s="482">
        <f>'APTC COST'!P24</f>
        <v>6.23</v>
      </c>
      <c r="E22" s="143"/>
      <c r="F22" s="143"/>
      <c r="G22" s="143"/>
      <c r="H22" s="143"/>
      <c r="I22" s="143"/>
      <c r="J22" s="143"/>
      <c r="K22" s="143"/>
      <c r="L22" s="143"/>
      <c r="M22" s="143"/>
      <c r="N22" s="143"/>
      <c r="O22" s="143"/>
      <c r="P22" s="143"/>
      <c r="Q22" s="143"/>
      <c r="R22" s="143"/>
      <c r="S22" s="143"/>
      <c r="T22" s="143"/>
      <c r="U22" s="143"/>
      <c r="V22" s="143"/>
      <c r="W22" s="69"/>
      <c r="X22" s="69"/>
      <c r="Y22" s="69"/>
      <c r="Z22" s="69"/>
      <c r="AA22" s="69"/>
      <c r="AB22" s="69"/>
      <c r="AC22" s="69"/>
      <c r="AD22" s="69"/>
      <c r="AE22" s="69"/>
    </row>
    <row r="23" spans="1:31" ht="15">
      <c r="A23" s="142"/>
      <c r="B23" s="143"/>
      <c r="C23" s="143"/>
      <c r="D23" s="482">
        <f>'APTC COST'!P25</f>
        <v>6.23</v>
      </c>
      <c r="E23" s="143"/>
      <c r="F23" s="143"/>
      <c r="G23" s="143"/>
      <c r="H23" s="143"/>
      <c r="I23" s="143"/>
      <c r="J23" s="143"/>
      <c r="K23" s="143"/>
      <c r="L23" s="143"/>
      <c r="M23" s="143"/>
      <c r="N23" s="143"/>
      <c r="O23" s="143"/>
      <c r="P23" s="143"/>
      <c r="Q23" s="143"/>
      <c r="R23" s="143"/>
      <c r="S23" s="143"/>
      <c r="T23" s="143"/>
      <c r="U23" s="143"/>
      <c r="V23" s="143"/>
      <c r="W23" s="69"/>
      <c r="X23" s="69"/>
      <c r="Y23" s="69"/>
      <c r="Z23" s="69"/>
      <c r="AA23" s="69"/>
      <c r="AB23" s="69"/>
      <c r="AC23" s="69"/>
      <c r="AD23" s="69"/>
      <c r="AE23" s="69"/>
    </row>
    <row r="24" spans="1:31" ht="15">
      <c r="A24" s="142"/>
      <c r="B24" s="143"/>
      <c r="C24" s="143"/>
      <c r="D24" s="482">
        <f>'APTC COST'!P26</f>
        <v>6.64</v>
      </c>
      <c r="E24" s="143"/>
      <c r="F24" s="143"/>
      <c r="G24" s="143"/>
      <c r="H24" s="143"/>
      <c r="I24" s="143"/>
      <c r="J24" s="143"/>
      <c r="K24" s="143"/>
      <c r="L24" s="143"/>
      <c r="M24" s="143"/>
      <c r="N24" s="143"/>
      <c r="O24" s="143"/>
      <c r="P24" s="143"/>
      <c r="Q24" s="143"/>
      <c r="R24" s="143"/>
      <c r="S24" s="143"/>
      <c r="T24" s="143"/>
      <c r="U24" s="143"/>
      <c r="V24" s="143"/>
      <c r="W24" s="69"/>
      <c r="X24" s="69"/>
      <c r="Y24" s="69"/>
      <c r="Z24" s="69"/>
      <c r="AA24" s="69"/>
      <c r="AB24" s="69"/>
      <c r="AC24" s="69"/>
      <c r="AD24" s="69"/>
      <c r="AE24" s="69"/>
    </row>
    <row r="25" spans="1:31" ht="15">
      <c r="A25" s="142"/>
      <c r="B25" s="143"/>
      <c r="C25" s="143"/>
      <c r="D25" s="482">
        <f>'APTC COST'!P27</f>
        <v>6.84</v>
      </c>
      <c r="E25" s="143"/>
      <c r="F25" s="143"/>
      <c r="G25" s="143"/>
      <c r="H25" s="143"/>
      <c r="I25" s="143"/>
      <c r="J25" s="143"/>
      <c r="K25" s="143"/>
      <c r="L25" s="143"/>
      <c r="M25" s="143"/>
      <c r="N25" s="143"/>
      <c r="O25" s="143"/>
      <c r="P25" s="143"/>
      <c r="Q25" s="143"/>
      <c r="R25" s="143"/>
      <c r="S25" s="143"/>
      <c r="T25" s="143"/>
      <c r="U25" s="143"/>
      <c r="V25" s="143"/>
      <c r="W25" s="69"/>
      <c r="X25" s="69"/>
      <c r="Y25" s="69"/>
      <c r="Z25" s="69"/>
      <c r="AA25" s="69"/>
      <c r="AB25" s="69"/>
      <c r="AC25" s="69"/>
      <c r="AD25" s="69"/>
      <c r="AE25" s="69"/>
    </row>
    <row r="26" spans="1:31" ht="15">
      <c r="A26" s="142"/>
      <c r="B26" s="143"/>
      <c r="C26" s="143"/>
      <c r="D26" s="482">
        <f>'APTC COST'!P28</f>
        <v>7.24</v>
      </c>
      <c r="E26" s="143"/>
      <c r="F26" s="143"/>
      <c r="G26" s="143"/>
      <c r="H26" s="143"/>
      <c r="I26" s="143"/>
      <c r="J26" s="143"/>
      <c r="K26" s="143"/>
      <c r="L26" s="143"/>
      <c r="M26" s="143"/>
      <c r="N26" s="143"/>
      <c r="O26" s="143"/>
      <c r="P26" s="143"/>
      <c r="Q26" s="143"/>
      <c r="R26" s="143"/>
      <c r="S26" s="143"/>
      <c r="T26" s="143"/>
      <c r="U26" s="143"/>
      <c r="V26" s="143"/>
      <c r="W26" s="69"/>
      <c r="X26" s="69"/>
      <c r="Y26" s="69"/>
      <c r="Z26" s="69"/>
      <c r="AA26" s="69"/>
      <c r="AB26" s="69"/>
      <c r="AC26" s="69"/>
      <c r="AD26" s="69"/>
      <c r="AE26" s="69"/>
    </row>
    <row r="27" spans="1:31" ht="15.75" thickBot="1">
      <c r="A27" s="142"/>
      <c r="B27" s="143"/>
      <c r="C27" s="143"/>
      <c r="D27" s="482">
        <f>'APTC COST'!P29</f>
        <v>8</v>
      </c>
      <c r="E27" s="143"/>
      <c r="F27" s="143"/>
      <c r="G27" s="143"/>
      <c r="H27" s="143"/>
      <c r="I27" s="143"/>
      <c r="J27" s="143"/>
      <c r="K27" s="143"/>
      <c r="L27" s="143"/>
      <c r="M27" s="143"/>
      <c r="N27" s="143"/>
      <c r="O27" s="143"/>
      <c r="P27" s="143"/>
      <c r="Q27" s="143"/>
      <c r="R27" s="143"/>
      <c r="S27" s="143"/>
      <c r="T27" s="143"/>
      <c r="U27" s="143"/>
      <c r="V27" s="143"/>
      <c r="W27" s="69"/>
      <c r="X27" s="69"/>
      <c r="Y27" s="69"/>
      <c r="Z27" s="69"/>
      <c r="AA27" s="69"/>
      <c r="AB27" s="69"/>
      <c r="AC27" s="69"/>
      <c r="AD27" s="69"/>
      <c r="AE27" s="69"/>
    </row>
    <row r="28" spans="1:31" ht="16.5" thickTop="1">
      <c r="A28" s="142"/>
      <c r="B28" s="143"/>
      <c r="C28" s="143"/>
      <c r="D28" s="482">
        <f>'APTC COST'!P30</f>
        <v>9</v>
      </c>
      <c r="E28" s="143"/>
      <c r="F28" s="143"/>
      <c r="G28" s="143"/>
      <c r="H28" s="143"/>
      <c r="I28" s="143"/>
      <c r="J28" s="143"/>
      <c r="K28" s="143"/>
      <c r="L28" s="143"/>
      <c r="M28" s="143"/>
      <c r="N28" s="143"/>
      <c r="O28" s="711">
        <v>0</v>
      </c>
      <c r="P28" s="613"/>
      <c r="Q28" s="496"/>
      <c r="R28" s="496"/>
      <c r="S28" s="496"/>
      <c r="T28" s="496"/>
      <c r="U28" s="497"/>
      <c r="V28" s="143"/>
      <c r="W28" s="69"/>
      <c r="X28" s="69"/>
      <c r="Y28" s="69"/>
      <c r="Z28" s="69"/>
      <c r="AA28" s="69"/>
      <c r="AB28" s="69"/>
      <c r="AC28" s="69"/>
      <c r="AD28" s="69"/>
      <c r="AE28" s="69"/>
    </row>
    <row r="29" spans="1:31" ht="15.75">
      <c r="A29" s="142"/>
      <c r="B29" s="143"/>
      <c r="C29" s="143"/>
      <c r="D29" s="482">
        <f>'APTC COST'!P31</f>
        <v>0</v>
      </c>
      <c r="E29" s="143"/>
      <c r="F29" s="143"/>
      <c r="G29" s="143"/>
      <c r="H29" s="143"/>
      <c r="I29" s="143"/>
      <c r="J29" s="143"/>
      <c r="K29" s="143"/>
      <c r="L29" s="143"/>
      <c r="M29" s="143"/>
      <c r="N29" s="143"/>
      <c r="O29" s="712">
        <v>5.8</v>
      </c>
      <c r="P29" s="614" t="s">
        <v>212</v>
      </c>
      <c r="Q29" s="490"/>
      <c r="R29" s="490"/>
      <c r="S29" s="490"/>
      <c r="T29" s="490"/>
      <c r="U29" s="498"/>
      <c r="V29" s="143"/>
      <c r="W29" s="69"/>
      <c r="X29" s="69"/>
      <c r="Y29" s="69"/>
      <c r="Z29" s="69"/>
      <c r="AA29" s="69"/>
      <c r="AB29" s="69"/>
      <c r="AC29" s="69"/>
      <c r="AD29" s="69"/>
      <c r="AE29" s="69"/>
    </row>
    <row r="30" spans="1:31" ht="15.75">
      <c r="A30" s="142"/>
      <c r="B30" s="143"/>
      <c r="C30" s="143"/>
      <c r="D30" s="143"/>
      <c r="E30" s="143"/>
      <c r="F30" s="143"/>
      <c r="G30" s="143"/>
      <c r="H30" s="143"/>
      <c r="I30" s="143"/>
      <c r="J30" s="143"/>
      <c r="K30" s="143"/>
      <c r="L30" s="143"/>
      <c r="M30" s="143"/>
      <c r="N30" s="143"/>
      <c r="O30" s="712">
        <v>6.8</v>
      </c>
      <c r="P30" s="614" t="s">
        <v>209</v>
      </c>
      <c r="Q30" s="490"/>
      <c r="R30" s="490"/>
      <c r="S30" s="490"/>
      <c r="T30" s="490"/>
      <c r="U30" s="498"/>
      <c r="V30" s="143"/>
      <c r="W30" s="69"/>
      <c r="X30" s="69"/>
      <c r="Y30" s="69"/>
      <c r="Z30" s="69"/>
      <c r="AA30" s="69"/>
      <c r="AB30" s="69"/>
      <c r="AC30" s="69"/>
      <c r="AD30" s="69"/>
      <c r="AE30" s="69"/>
    </row>
    <row r="31" spans="1:31" ht="16.5" thickBot="1">
      <c r="A31" s="142"/>
      <c r="B31" s="143"/>
      <c r="C31" s="143"/>
      <c r="D31" s="143"/>
      <c r="E31" s="143"/>
      <c r="F31" s="143"/>
      <c r="G31" s="143"/>
      <c r="H31" s="143"/>
      <c r="I31" s="143"/>
      <c r="J31" s="143"/>
      <c r="K31" s="143"/>
      <c r="L31" s="143"/>
      <c r="M31" s="143"/>
      <c r="N31" s="143"/>
      <c r="O31" s="713">
        <v>0</v>
      </c>
      <c r="P31" s="615"/>
      <c r="Q31" s="499"/>
      <c r="R31" s="499"/>
      <c r="S31" s="499"/>
      <c r="T31" s="499"/>
      <c r="U31" s="500"/>
      <c r="V31" s="143"/>
      <c r="W31" s="69"/>
      <c r="X31" s="69"/>
      <c r="Y31" s="69"/>
      <c r="Z31" s="69"/>
      <c r="AA31" s="69"/>
      <c r="AB31" s="69"/>
      <c r="AC31" s="69"/>
      <c r="AD31" s="69"/>
      <c r="AE31" s="69"/>
    </row>
    <row r="32" spans="1:31" ht="15.75" thickTop="1">
      <c r="A32" s="142"/>
      <c r="B32" s="143"/>
      <c r="C32" s="486"/>
      <c r="D32" s="487"/>
      <c r="E32" s="487"/>
      <c r="F32" s="487"/>
      <c r="G32" s="487"/>
      <c r="H32" s="487"/>
      <c r="I32" s="487"/>
      <c r="J32" s="487"/>
      <c r="K32" s="487"/>
      <c r="L32" s="488"/>
      <c r="M32" s="143"/>
      <c r="N32" s="143"/>
      <c r="O32" s="143"/>
      <c r="P32" s="143"/>
      <c r="Q32" s="143"/>
      <c r="R32" s="143"/>
      <c r="S32" s="143"/>
      <c r="T32" s="143"/>
      <c r="U32" s="143"/>
      <c r="V32" s="143"/>
      <c r="W32" s="69"/>
      <c r="X32" s="69"/>
      <c r="Y32" s="69"/>
      <c r="Z32" s="69"/>
      <c r="AA32" s="69"/>
      <c r="AB32" s="69"/>
      <c r="AC32" s="69"/>
      <c r="AD32" s="69"/>
      <c r="AE32" s="69"/>
    </row>
    <row r="33" spans="1:31" ht="15">
      <c r="A33" s="142"/>
      <c r="B33" s="143"/>
      <c r="C33" s="489">
        <f>'APTC COST'!C34</f>
        <v>5.22</v>
      </c>
      <c r="D33" s="495" t="str">
        <f>'APTC COST'!F34</f>
        <v>  X  hours per week  (Less than 5 years service, up to SCP 21)</v>
      </c>
      <c r="E33" s="490"/>
      <c r="F33" s="490"/>
      <c r="G33" s="490"/>
      <c r="H33" s="490"/>
      <c r="I33" s="490"/>
      <c r="J33" s="490"/>
      <c r="K33" s="490"/>
      <c r="L33" s="491"/>
      <c r="M33" s="143"/>
      <c r="N33" s="143"/>
      <c r="O33" s="143"/>
      <c r="P33" s="143"/>
      <c r="Q33" s="143"/>
      <c r="R33" s="143"/>
      <c r="S33" s="143"/>
      <c r="T33" s="143"/>
      <c r="U33" s="143"/>
      <c r="V33" s="143"/>
      <c r="W33" s="69"/>
      <c r="X33" s="69"/>
      <c r="Y33" s="69"/>
      <c r="Z33" s="69"/>
      <c r="AA33" s="69"/>
      <c r="AB33" s="69"/>
      <c r="AC33" s="69"/>
      <c r="AD33" s="69"/>
      <c r="AE33" s="69"/>
    </row>
    <row r="34" spans="1:31" ht="15">
      <c r="A34" s="142"/>
      <c r="B34" s="143"/>
      <c r="C34" s="489">
        <f>'APTC COST'!C35</f>
        <v>5.61</v>
      </c>
      <c r="D34" s="495" t="str">
        <f>'APTC COST'!F35</f>
        <v>  X  hours per week  (Less than 5 years service, SCP 22 to 28)</v>
      </c>
      <c r="E34" s="490"/>
      <c r="F34" s="490"/>
      <c r="G34" s="490"/>
      <c r="H34" s="490"/>
      <c r="I34" s="490"/>
      <c r="J34" s="490"/>
      <c r="K34" s="490"/>
      <c r="L34" s="491"/>
      <c r="M34" s="143"/>
      <c r="N34" s="143"/>
      <c r="O34" s="143"/>
      <c r="P34" s="143"/>
      <c r="Q34" s="143"/>
      <c r="R34" s="143"/>
      <c r="S34" s="143"/>
      <c r="T34" s="143"/>
      <c r="U34" s="143"/>
      <c r="V34" s="143"/>
      <c r="W34" s="69"/>
      <c r="X34" s="69"/>
      <c r="Y34" s="69"/>
      <c r="Z34" s="69"/>
      <c r="AA34" s="69"/>
      <c r="AB34" s="69"/>
      <c r="AC34" s="69"/>
      <c r="AD34" s="69"/>
      <c r="AE34" s="69"/>
    </row>
    <row r="35" spans="1:31" ht="15">
      <c r="A35" s="142"/>
      <c r="B35" s="143"/>
      <c r="C35" s="489">
        <f>'APTC COST'!C36</f>
        <v>6.02</v>
      </c>
      <c r="D35" s="495" t="str">
        <f>'APTC COST'!F36</f>
        <v>  X  hours per week  (Less than 5 years service, SCP 29 to 41)</v>
      </c>
      <c r="E35" s="490"/>
      <c r="F35" s="490"/>
      <c r="G35" s="490"/>
      <c r="H35" s="490"/>
      <c r="I35" s="490"/>
      <c r="J35" s="490"/>
      <c r="K35" s="490"/>
      <c r="L35" s="491"/>
      <c r="M35" s="143"/>
      <c r="N35" s="143"/>
      <c r="O35" s="143"/>
      <c r="P35" s="143"/>
      <c r="Q35" s="143"/>
      <c r="R35" s="143"/>
      <c r="S35" s="143"/>
      <c r="T35" s="143"/>
      <c r="U35" s="143"/>
      <c r="V35" s="143"/>
      <c r="W35" s="69"/>
      <c r="X35" s="69"/>
      <c r="Y35" s="69"/>
      <c r="Z35" s="69"/>
      <c r="AA35" s="69"/>
      <c r="AB35" s="69"/>
      <c r="AC35" s="69"/>
      <c r="AD35" s="69"/>
      <c r="AE35" s="69"/>
    </row>
    <row r="36" spans="1:31" ht="15">
      <c r="A36" s="142"/>
      <c r="B36" s="143"/>
      <c r="C36" s="489">
        <f>'APTC COST'!C37</f>
        <v>6.23</v>
      </c>
      <c r="D36" s="495" t="str">
        <f>'APTC COST'!F37</f>
        <v>  X  hours per week  (Less than 5 years service, SCP 42 to 58)</v>
      </c>
      <c r="E36" s="490"/>
      <c r="F36" s="490"/>
      <c r="G36" s="490"/>
      <c r="H36" s="490"/>
      <c r="I36" s="490"/>
      <c r="J36" s="490"/>
      <c r="K36" s="490"/>
      <c r="L36" s="491"/>
      <c r="M36" s="143"/>
      <c r="N36" s="143"/>
      <c r="O36" s="143"/>
      <c r="P36" s="143"/>
      <c r="Q36" s="143"/>
      <c r="R36" s="143"/>
      <c r="S36" s="143"/>
      <c r="T36" s="143"/>
      <c r="U36" s="143"/>
      <c r="V36" s="143"/>
      <c r="W36" s="69"/>
      <c r="X36" s="69"/>
      <c r="Y36" s="69"/>
      <c r="Z36" s="69"/>
      <c r="AA36" s="69"/>
      <c r="AB36" s="69"/>
      <c r="AC36" s="69"/>
      <c r="AD36" s="69"/>
      <c r="AE36" s="69"/>
    </row>
    <row r="37" spans="1:31" ht="15">
      <c r="A37" s="142"/>
      <c r="B37" s="143"/>
      <c r="C37" s="489">
        <f>'APTC COST'!C38</f>
        <v>6.23</v>
      </c>
      <c r="D37" s="495" t="str">
        <f>'APTC COST'!F38</f>
        <v>  X  hours per week  (5 - 10 years service, up to SCP 41)</v>
      </c>
      <c r="E37" s="490"/>
      <c r="F37" s="490"/>
      <c r="G37" s="490"/>
      <c r="H37" s="490"/>
      <c r="I37" s="490"/>
      <c r="J37" s="490"/>
      <c r="K37" s="490"/>
      <c r="L37" s="491"/>
      <c r="M37" s="143"/>
      <c r="N37" s="143"/>
      <c r="O37" s="143"/>
      <c r="P37" s="143"/>
      <c r="Q37" s="143"/>
      <c r="R37" s="143"/>
      <c r="S37" s="143"/>
      <c r="T37" s="143"/>
      <c r="U37" s="143"/>
      <c r="V37" s="143"/>
      <c r="W37" s="69"/>
      <c r="X37" s="69"/>
      <c r="Y37" s="69"/>
      <c r="Z37" s="69"/>
      <c r="AA37" s="69"/>
      <c r="AB37" s="69"/>
      <c r="AC37" s="69"/>
      <c r="AD37" s="69"/>
      <c r="AE37" s="69"/>
    </row>
    <row r="38" spans="1:31" ht="15">
      <c r="A38" s="142"/>
      <c r="B38" s="143"/>
      <c r="C38" s="489">
        <f>'APTC COST'!C39</f>
        <v>6.64</v>
      </c>
      <c r="D38" s="495" t="str">
        <f>'APTC COST'!F39</f>
        <v>  X  hours per week  (5 - 10 years service, SCP 42 to 58)</v>
      </c>
      <c r="E38" s="490"/>
      <c r="F38" s="490"/>
      <c r="G38" s="490"/>
      <c r="H38" s="490"/>
      <c r="I38" s="490"/>
      <c r="J38" s="490"/>
      <c r="K38" s="490"/>
      <c r="L38" s="491"/>
      <c r="M38" s="143"/>
      <c r="N38" s="143"/>
      <c r="O38" s="143"/>
      <c r="P38" s="143"/>
      <c r="Q38" s="143"/>
      <c r="R38" s="143"/>
      <c r="S38" s="143"/>
      <c r="T38" s="143"/>
      <c r="U38" s="143"/>
      <c r="V38" s="143"/>
      <c r="W38" s="69"/>
      <c r="X38" s="69"/>
      <c r="Y38" s="69"/>
      <c r="Z38" s="69"/>
      <c r="AA38" s="69"/>
      <c r="AB38" s="69"/>
      <c r="AC38" s="69"/>
      <c r="AD38" s="69"/>
      <c r="AE38" s="69"/>
    </row>
    <row r="39" spans="1:31" ht="15">
      <c r="A39" s="142"/>
      <c r="B39" s="143"/>
      <c r="C39" s="489">
        <f>'APTC COST'!C40</f>
        <v>6.84</v>
      </c>
      <c r="D39" s="495" t="str">
        <f>'APTC COST'!F40</f>
        <v>  X  hours per week  (Over 10 years service, up to SCP 41)</v>
      </c>
      <c r="E39" s="490"/>
      <c r="F39" s="490"/>
      <c r="G39" s="490"/>
      <c r="H39" s="490"/>
      <c r="I39" s="490"/>
      <c r="J39" s="490"/>
      <c r="K39" s="490"/>
      <c r="L39" s="491"/>
      <c r="M39" s="143"/>
      <c r="N39" s="143"/>
      <c r="O39" s="143"/>
      <c r="P39" s="143"/>
      <c r="Q39" s="143"/>
      <c r="R39" s="143"/>
      <c r="S39" s="143"/>
      <c r="T39" s="143"/>
      <c r="U39" s="143"/>
      <c r="V39" s="143"/>
      <c r="W39" s="69"/>
      <c r="X39" s="69"/>
      <c r="Y39" s="69"/>
      <c r="Z39" s="69"/>
      <c r="AA39" s="69"/>
      <c r="AB39" s="69"/>
      <c r="AC39" s="69"/>
      <c r="AD39" s="69"/>
      <c r="AE39" s="69"/>
    </row>
    <row r="40" spans="1:31" ht="15">
      <c r="A40" s="142"/>
      <c r="B40" s="143"/>
      <c r="C40" s="489">
        <f>'APTC COST'!C41</f>
        <v>7.24</v>
      </c>
      <c r="D40" s="495" t="str">
        <f>'APTC COST'!F41</f>
        <v>  X  hours per week  (Over 10 years service, SCP 42 to 58)</v>
      </c>
      <c r="E40" s="490"/>
      <c r="F40" s="490"/>
      <c r="G40" s="490"/>
      <c r="H40" s="490"/>
      <c r="I40" s="490"/>
      <c r="J40" s="490"/>
      <c r="K40" s="490"/>
      <c r="L40" s="491"/>
      <c r="M40" s="143"/>
      <c r="N40" s="143"/>
      <c r="O40" s="143"/>
      <c r="P40" s="143"/>
      <c r="Q40" s="143"/>
      <c r="R40" s="143"/>
      <c r="S40" s="143"/>
      <c r="T40" s="143"/>
      <c r="U40" s="143"/>
      <c r="V40" s="143"/>
      <c r="W40" s="69"/>
      <c r="X40" s="69"/>
      <c r="Y40" s="69"/>
      <c r="Z40" s="69"/>
      <c r="AA40" s="69"/>
      <c r="AB40" s="69"/>
      <c r="AC40" s="69"/>
      <c r="AD40" s="69"/>
      <c r="AE40" s="69"/>
    </row>
    <row r="41" spans="1:31" ht="15">
      <c r="A41" s="142"/>
      <c r="B41" s="143"/>
      <c r="C41" s="489">
        <f>'APTC COST'!C42</f>
        <v>8</v>
      </c>
      <c r="D41" s="495" t="str">
        <f>'APTC COST'!F42</f>
        <v>  Other amount</v>
      </c>
      <c r="E41" s="490"/>
      <c r="F41" s="490"/>
      <c r="G41" s="490"/>
      <c r="H41" s="490"/>
      <c r="I41" s="490"/>
      <c r="J41" s="490"/>
      <c r="K41" s="490"/>
      <c r="L41" s="491"/>
      <c r="M41" s="143"/>
      <c r="N41" s="143"/>
      <c r="O41" s="143"/>
      <c r="P41" s="143"/>
      <c r="Q41" s="143"/>
      <c r="R41" s="143"/>
      <c r="S41" s="143"/>
      <c r="T41" s="143"/>
      <c r="U41" s="143"/>
      <c r="V41" s="143"/>
      <c r="W41" s="69"/>
      <c r="X41" s="69"/>
      <c r="Y41" s="69"/>
      <c r="Z41" s="69"/>
      <c r="AA41" s="69"/>
      <c r="AB41" s="69"/>
      <c r="AC41" s="69"/>
      <c r="AD41" s="69"/>
      <c r="AE41" s="69"/>
    </row>
    <row r="42" spans="1:31" ht="15">
      <c r="A42" s="142"/>
      <c r="B42" s="143"/>
      <c r="C42" s="489">
        <f>'APTC COST'!C43</f>
        <v>9</v>
      </c>
      <c r="D42" s="495" t="str">
        <f>'APTC COST'!F43</f>
        <v>  Other amount</v>
      </c>
      <c r="E42" s="490"/>
      <c r="F42" s="490"/>
      <c r="G42" s="490"/>
      <c r="H42" s="490"/>
      <c r="I42" s="490"/>
      <c r="J42" s="490"/>
      <c r="K42" s="490"/>
      <c r="L42" s="491"/>
      <c r="M42" s="143"/>
      <c r="N42" s="143"/>
      <c r="O42" s="143"/>
      <c r="P42" s="143"/>
      <c r="Q42" s="143"/>
      <c r="R42" s="143"/>
      <c r="S42" s="143"/>
      <c r="T42" s="143"/>
      <c r="U42" s="143"/>
      <c r="V42" s="143"/>
      <c r="W42" s="69"/>
      <c r="X42" s="69"/>
      <c r="Y42" s="69"/>
      <c r="Z42" s="69"/>
      <c r="AA42" s="69"/>
      <c r="AB42" s="69"/>
      <c r="AC42" s="69"/>
      <c r="AD42" s="69"/>
      <c r="AE42" s="69"/>
    </row>
    <row r="43" spans="1:31" ht="15">
      <c r="A43" s="142"/>
      <c r="B43" s="143"/>
      <c r="C43" s="489">
        <f>'APTC COST'!C44</f>
        <v>0</v>
      </c>
      <c r="D43" s="495" t="str">
        <f>'APTC COST'!F44</f>
        <v>  Other amount</v>
      </c>
      <c r="E43" s="490"/>
      <c r="F43" s="490"/>
      <c r="G43" s="490"/>
      <c r="H43" s="490"/>
      <c r="I43" s="490"/>
      <c r="J43" s="490"/>
      <c r="K43" s="490"/>
      <c r="L43" s="491"/>
      <c r="M43" s="143"/>
      <c r="N43" s="143"/>
      <c r="O43" s="143"/>
      <c r="P43" s="143"/>
      <c r="Q43" s="143"/>
      <c r="R43" s="143"/>
      <c r="S43" s="143"/>
      <c r="T43" s="143"/>
      <c r="U43" s="143"/>
      <c r="V43" s="143"/>
      <c r="W43" s="69"/>
      <c r="X43" s="69"/>
      <c r="Y43" s="69"/>
      <c r="Z43" s="69"/>
      <c r="AA43" s="69"/>
      <c r="AB43" s="69"/>
      <c r="AC43" s="69"/>
      <c r="AD43" s="69"/>
      <c r="AE43" s="69"/>
    </row>
    <row r="44" spans="1:31" ht="15.75" thickBot="1">
      <c r="A44" s="142"/>
      <c r="B44" s="143"/>
      <c r="C44" s="492"/>
      <c r="D44" s="493"/>
      <c r="E44" s="493"/>
      <c r="F44" s="493"/>
      <c r="G44" s="493"/>
      <c r="H44" s="493"/>
      <c r="I44" s="493"/>
      <c r="J44" s="493"/>
      <c r="K44" s="493"/>
      <c r="L44" s="494"/>
      <c r="M44" s="143"/>
      <c r="N44" s="143"/>
      <c r="O44" s="143"/>
      <c r="P44" s="143"/>
      <c r="Q44" s="143"/>
      <c r="R44" s="143"/>
      <c r="S44" s="143"/>
      <c r="T44" s="143"/>
      <c r="U44" s="143"/>
      <c r="V44" s="143"/>
      <c r="W44" s="69"/>
      <c r="X44" s="69"/>
      <c r="Y44" s="69"/>
      <c r="Z44" s="69"/>
      <c r="AA44" s="69"/>
      <c r="AB44" s="69"/>
      <c r="AC44" s="69"/>
      <c r="AD44" s="69"/>
      <c r="AE44" s="69"/>
    </row>
    <row r="45" spans="1:31" ht="15.75" thickTop="1">
      <c r="A45" s="142"/>
      <c r="B45" s="143"/>
      <c r="C45" s="143"/>
      <c r="D45" s="143"/>
      <c r="E45" s="143"/>
      <c r="F45" s="143"/>
      <c r="G45" s="143"/>
      <c r="H45" s="143"/>
      <c r="I45" s="143"/>
      <c r="J45" s="143"/>
      <c r="K45" s="143"/>
      <c r="L45" s="143"/>
      <c r="M45" s="143"/>
      <c r="N45" s="143"/>
      <c r="O45" s="143"/>
      <c r="P45" s="143"/>
      <c r="Q45" s="143"/>
      <c r="R45" s="143"/>
      <c r="S45" s="143"/>
      <c r="T45" s="143"/>
      <c r="U45" s="143"/>
      <c r="V45" s="143"/>
      <c r="W45" s="69"/>
      <c r="X45" s="69"/>
      <c r="Y45" s="69"/>
      <c r="Z45" s="69"/>
      <c r="AA45" s="69"/>
      <c r="AB45" s="69"/>
      <c r="AC45" s="69"/>
      <c r="AD45" s="69"/>
      <c r="AE45" s="69"/>
    </row>
    <row r="46" spans="1:31" ht="15">
      <c r="A46" s="142"/>
      <c r="B46" s="143"/>
      <c r="C46" s="143"/>
      <c r="D46" s="143"/>
      <c r="E46" s="143"/>
      <c r="F46" s="143"/>
      <c r="G46" s="143"/>
      <c r="H46" s="143"/>
      <c r="I46" s="143"/>
      <c r="J46" s="143"/>
      <c r="K46" s="143"/>
      <c r="L46" s="143"/>
      <c r="M46" s="143"/>
      <c r="N46" s="143"/>
      <c r="O46" s="143"/>
      <c r="P46" s="143"/>
      <c r="Q46" s="143"/>
      <c r="R46" s="143"/>
      <c r="S46" s="143"/>
      <c r="T46" s="143"/>
      <c r="U46" s="143"/>
      <c r="V46" s="143"/>
      <c r="W46" s="69"/>
      <c r="X46" s="69"/>
      <c r="Y46" s="69"/>
      <c r="Z46" s="69"/>
      <c r="AA46" s="69"/>
      <c r="AB46" s="69"/>
      <c r="AC46" s="69"/>
      <c r="AD46" s="69"/>
      <c r="AE46" s="69"/>
    </row>
    <row r="47" spans="1:31" ht="15">
      <c r="A47" s="144"/>
      <c r="B47" s="143"/>
      <c r="C47" s="143"/>
      <c r="D47" s="143"/>
      <c r="E47" s="143"/>
      <c r="F47" s="143"/>
      <c r="G47" s="143"/>
      <c r="H47" s="143"/>
      <c r="I47" s="143"/>
      <c r="J47" s="143"/>
      <c r="K47" s="143"/>
      <c r="L47" s="143"/>
      <c r="M47" s="143"/>
      <c r="N47" s="143"/>
      <c r="O47" s="143"/>
      <c r="P47" s="143"/>
      <c r="Q47" s="143"/>
      <c r="R47" s="143"/>
      <c r="S47" s="143"/>
      <c r="T47" s="143"/>
      <c r="U47" s="143"/>
      <c r="V47" s="143"/>
      <c r="W47" s="69"/>
      <c r="X47" s="69"/>
      <c r="Y47" s="69"/>
      <c r="Z47" s="69"/>
      <c r="AA47" s="69"/>
      <c r="AB47" s="69"/>
      <c r="AC47" s="69"/>
      <c r="AD47" s="69"/>
      <c r="AE47" s="69"/>
    </row>
    <row r="48" spans="1:31" ht="15">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row>
    <row r="49" spans="1:31" ht="15">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row>
    <row r="50" spans="1:31" ht="15">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row>
    <row r="51" spans="1:31" ht="15">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row>
    <row r="52" spans="1:31" ht="1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row>
    <row r="53" spans="1:31" ht="15">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row>
    <row r="54" spans="1:31" ht="15">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row>
    <row r="55" spans="1:31" ht="1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row>
    <row r="56" spans="1:31" ht="1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row>
    <row r="57" spans="1:31" ht="1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ht="1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ht="1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ht="1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row>
    <row r="61" spans="1:31" ht="1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row>
    <row r="62" spans="1:31" ht="1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ht="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ht="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ht="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ht="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ht="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ht="1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ht="1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ht="15" hidden="1"/>
    <row r="71" ht="15" hidden="1"/>
  </sheetData>
  <sheetProtection password="DD49" sheet="1" objects="1" scenarios="1"/>
  <mergeCells count="1">
    <mergeCell ref="K1:O1"/>
  </mergeCells>
  <conditionalFormatting sqref="C5">
    <cfRule type="cellIs" priority="1" dxfId="1" operator="equal" stopIfTrue="1">
      <formula>0</formula>
    </cfRule>
  </conditionalFormatting>
  <dataValidations count="17">
    <dataValidation errorStyle="warning" type="custom" allowBlank="1" showInputMessage="1" showErrorMessage="1" errorTitle="WARNING!" error="&#10;This cell contains an essential formula!  Overwriting or deleting this formula may adversely affect the whole document.&#10;&#10;Only continue if this is your intention.&#10;&#10;CLICK 'Cancel' IF YOU DO NOT WISH TO PROCEED." sqref="M13:U16">
      <formula1>"NO CHANGE ADVISED"</formula1>
    </dataValidation>
    <dataValidation type="decimal" operator="lessThanOrEqual" allowBlank="1" showInputMessage="1" showErrorMessage="1" promptTitle="WEEKS PAYABLE ENTRY FIELD" prompt="&#10;Enter the number of weeks payable per annum.  This should include annual leave, statutory holidays and paid retainer weeks for term time only staff.  The maximum for all staff is 52 weeks." sqref="F13:F14">
      <formula1>52</formula1>
    </dataValidation>
    <dataValidation type="decimal" operator="lessThanOrEqual" allowBlank="1" showInputMessage="1" showErrorMessage="1" promptTitle="ON-COST % ENTRY FIELD" prompt="&#10;Enter the % on-cost here.  This field is to ensure employers contributions towards N.I. and pension funds are considered in your staff costings.&#10;" sqref="L13:L15">
      <formula1>50</formula1>
    </dataValidation>
    <dataValidation errorStyle="warning" allowBlank="1" showInputMessage="1" showErrorMessage="1" promptTitle="SPINAL POINT ENTRY FIELD" prompt="&#10;Enter an appropriate spinal point from the Local Authority scales in this cell.  The salary value will be read from the Salary Scales worksheet according to the number entered here." sqref="D13:D15"/>
    <dataValidation type="custom" allowBlank="1" showInputMessage="1" showErrorMessage="1" errorTitle="FIXED SYMBOL" sqref="C2:C3">
      <formula1>"NO CHANGE REQUIRED"</formula1>
    </dataValidation>
    <dataValidation type="whole" operator="greaterThanOrEqual" allowBlank="1" showInputMessage="1" showErrorMessage="1" promptTitle="MISC. PAYMENTS ENTRY FIELD" prompt="&#10;Enter the TOTAL annual value of any additional allowance payments here." sqref="K13:K15">
      <formula1>0</formula1>
    </dataValidation>
    <dataValidation type="custom" operator="lessThanOrEqual" allowBlank="1" showInputMessage="1" showErrorMessage="1" promptTitle="RETAINER WEEKS PAYABLE" prompt="&#10;This represents the balance of the 52 week year paid as half pay.  The retainer weeks payable figure will appear here automatically once the 'Holiday Weeks Payable' figure to the left has been entered. " sqref="I15">
      <formula1>"NO CHANGE"</formula1>
    </dataValidation>
    <dataValidation errorStyle="warning" type="custom" allowBlank="1" showInputMessage="1" showErrorMessage="1" errorTitle="FIXED TITLE" error="This cell contains a fixed title to correspond with the function of the column.  Changing it is not advised.&#10;&#10;CLICK 'Cancel' to exit." sqref="O6 C9:U11 C8 C6 E4 L6 X13:X15 C13:C14">
      <formula1>"NO CHANGE ADVISED"</formula1>
    </dataValidation>
    <dataValidation type="custom" allowBlank="1" showInputMessage="1" showErrorMessage="1" promptTitle="BONUS NOT PAYABLE" prompt="&#10;Bonus is not payable to SMSA's.  This cell has no function." sqref="J15">
      <formula1>"NO CHANGE ADVISED"</formula1>
    </dataValidation>
    <dataValidation errorStyle="warning" type="decimal" operator="lessThanOrEqual" allowBlank="1" showInputMessage="1" showErrorMessage="1" promptTitle="HOURS WORKED ENTRY FIELD" prompt="&#10;Enter the number of BASIC hours worked per week." errorTitle="ENTER HOURS BETWEEN 0 &amp; 37." error="&#10;The maximum hours per week for this category of staff are 37.&#10;&#10;PLEASE CLICK 'Cancel' AND RE-ENTER THE HOURS WORKED PER WEEK." sqref="E13:E15">
      <formula1>37</formula1>
    </dataValidation>
    <dataValidation type="custom" allowBlank="1" showInputMessage="1" showErrorMessage="1" promptTitle="RETAINING FEE NOT PAYABLE" prompt="&#10;A retaining fee is not payable to this category of staff.  This cell has no function." sqref="I13:I14">
      <formula1>"NO CHANGE ADVISED"</formula1>
    </dataValidation>
    <dataValidation errorStyle="information" type="list" allowBlank="1" showInputMessage="1" showErrorMessage="1" promptTitle="HOLIDAY/RETAINER WEEKS PAYABLE" prompt="&#10;Enter the number of annual leave/statutory holiday WEEKS payable here.  (See guidance below in the yellow box)." errorTitle="INFORMATION" error="&#10;This figure should either be 5.8 or 6.8 depending on length of service.&#10;&#10;See SMSA notes below." sqref="H15">
      <formula1>O$28:O$31</formula1>
    </dataValidation>
    <dataValidation type="custom" allowBlank="1" showInputMessage="1" showErrorMessage="1" errorTitle="COPYRIGHT PROTECTION!" error="&#10;Tampering with this cell puts you in breach of copyright laws.&#10;&#10;Click 'Cancel' to end." sqref="P7">
      <formula1>"COPYRIGHT PROTECTION!"</formula1>
    </dataValidation>
    <dataValidation type="decimal" operator="lessThanOrEqual" allowBlank="1" showInputMessage="1" showErrorMessage="1" promptTitle="WEEKLY BONUS HOURS ENTRY FIELD" prompt="Enter the number of WEEKLY bonus hours payable if applicable. (As if working full time).&#10; - Secondary school C/takers - 5&#10; - Primary school C/takers - 4.5&#10; - Primary &amp; secondary Asst. C/takers - 4.25&#10; - All Cleaners - 4&#10;&#10;Leave blank if no bonus." sqref="J13:J14">
      <formula1>8</formula1>
    </dataValidation>
    <dataValidation operator="lessThanOrEqual" allowBlank="1" showInputMessage="1" showErrorMessage="1" promptTitle="WEEKS PAYABLE ENTRY FIELD" prompt="&#10;This is generally fixed at 38 weeks. The balance of the year is paid as annual leave, Statutory holidays and half-pay retaining fees.  These are entered in the 'Holiday Weeks Payable' cell to the right." sqref="F15"/>
    <dataValidation type="list" operator="lessThanOrEqual" allowBlank="1" showInputMessage="1" showErrorMessage="1" promptTitle="SELECT HOLIDAY WEEKS PAYABLE" prompt="&#10;See the notes below for information relating to appropriate number of holiday weeks payable, then choose from the 'pull-down' list." sqref="H13:H14">
      <formula1>$C$33:$C$43</formula1>
    </dataValidation>
    <dataValidation errorStyle="warning" type="custom" allowBlank="1" showInputMessage="1" showErrorMessage="1" promptTitle="Lunchtime Supervisor" prompt="&#10;SMSA stands for School Meals Supervisory Assistant." errorTitle="FIXED TITLE" error="This cell contains a fixed title to correspond with the function of the column.  Changing it is not advised.&#10;&#10;CLICK 'Cancel' to exit." sqref="C15">
      <formula1>"NO CHANGE ADVISED"</formula1>
    </dataValidation>
  </dataValidations>
  <hyperlinks>
    <hyperlink ref="K1:O1" location="'Manual Statement'!A1" tooltip="To Manual salary statement sheet" display="TO MANUAL STATEMENT"/>
    <hyperlink ref="F1" location="INDEX!A1" tooltip="Go to Index" display="INDEX"/>
  </hyperlinks>
  <printOptions horizontalCentered="1"/>
  <pageMargins left="0.2362204724409449" right="0.2362204724409449" top="0.35433070866141736" bottom="0.15748031496062992" header="0.5118110236220472" footer="0.5118110236220472"/>
  <pageSetup blackAndWhite="1" fitToHeight="1" fitToWidth="1" horizontalDpi="600" verticalDpi="600" orientation="landscape" scale="68"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F51"/>
  <sheetViews>
    <sheetView showGridLines="0" showRowColHeaders="0" showOutlineSymbols="0" zoomScale="75" zoomScaleNormal="75" workbookViewId="0" topLeftCell="A1">
      <pane ySplit="1" topLeftCell="BM2" activePane="bottomLeft" state="frozen"/>
      <selection pane="topLeft" activeCell="K12" sqref="K12:L12"/>
      <selection pane="bottomLeft" activeCell="N1" sqref="N1:R1"/>
    </sheetView>
  </sheetViews>
  <sheetFormatPr defaultColWidth="8.6640625" defaultRowHeight="15" zeroHeight="1"/>
  <cols>
    <col min="1" max="1" width="1.77734375" style="7" customWidth="1"/>
    <col min="2" max="2" width="0.671875" style="7" customWidth="1"/>
    <col min="3" max="3" width="19.3359375" style="7" customWidth="1"/>
    <col min="4" max="4" width="2.77734375" style="7" hidden="1" customWidth="1"/>
    <col min="5" max="5" width="10.88671875" style="7" hidden="1" customWidth="1"/>
    <col min="6" max="6" width="5.77734375" style="7" customWidth="1"/>
    <col min="7" max="8" width="6.6640625" style="7" customWidth="1"/>
    <col min="9" max="9" width="6.6640625" style="7" hidden="1" customWidth="1"/>
    <col min="10" max="10" width="7.6640625" style="7" customWidth="1"/>
    <col min="11" max="11" width="7.99609375" style="7" hidden="1" customWidth="1"/>
    <col min="12" max="12" width="10.77734375" style="7" customWidth="1"/>
    <col min="13" max="13" width="7.6640625" style="7" customWidth="1"/>
    <col min="14" max="14" width="7.77734375" style="7" customWidth="1"/>
    <col min="15" max="15" width="4.6640625" style="7" customWidth="1"/>
    <col min="16" max="21" width="11.77734375" style="7" customWidth="1"/>
    <col min="22" max="22" width="0.78125" style="7" customWidth="1"/>
    <col min="23" max="23" width="1.77734375" style="7" customWidth="1"/>
    <col min="24" max="24" width="17.99609375" style="7" customWidth="1"/>
    <col min="25" max="26" width="14.77734375" style="7" customWidth="1"/>
    <col min="27" max="28" width="7.6640625" style="7" customWidth="1"/>
    <col min="29" max="32" width="11.4453125" style="7" customWidth="1"/>
    <col min="33" max="16384" width="0" style="7" hidden="1" customWidth="1"/>
  </cols>
  <sheetData>
    <row r="1" spans="1:32" ht="30" customHeight="1">
      <c r="A1" s="651"/>
      <c r="B1" s="651"/>
      <c r="C1" s="652"/>
      <c r="D1" s="653"/>
      <c r="E1" s="653"/>
      <c r="F1" s="654"/>
      <c r="G1" s="651"/>
      <c r="H1" s="651"/>
      <c r="I1" s="651"/>
      <c r="J1" s="641" t="s">
        <v>244</v>
      </c>
      <c r="K1" s="653"/>
      <c r="L1" s="653"/>
      <c r="M1" s="654"/>
      <c r="N1" s="1103" t="s">
        <v>263</v>
      </c>
      <c r="O1" s="1103"/>
      <c r="P1" s="1103"/>
      <c r="Q1" s="1103"/>
      <c r="R1" s="1103"/>
      <c r="S1" s="651"/>
      <c r="T1" s="651"/>
      <c r="U1" s="651"/>
      <c r="V1" s="651"/>
      <c r="W1" s="651"/>
      <c r="X1" s="651"/>
      <c r="Y1" s="651"/>
      <c r="Z1" s="651"/>
      <c r="AA1" s="651"/>
      <c r="AB1" s="651"/>
      <c r="AC1" s="651"/>
      <c r="AD1" s="651"/>
      <c r="AE1" s="651"/>
      <c r="AF1" s="19"/>
    </row>
    <row r="2" spans="1:32" ht="18.75" customHeight="1">
      <c r="A2" s="651"/>
      <c r="B2" s="651"/>
      <c r="C2" s="655"/>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19"/>
    </row>
    <row r="3" spans="1:32" ht="5.25" customHeight="1" thickBot="1">
      <c r="A3" s="651"/>
      <c r="B3" s="656"/>
      <c r="C3" s="657"/>
      <c r="D3" s="656"/>
      <c r="E3" s="656"/>
      <c r="F3" s="656"/>
      <c r="G3" s="656"/>
      <c r="H3" s="656"/>
      <c r="I3" s="656"/>
      <c r="J3" s="656"/>
      <c r="K3" s="656"/>
      <c r="L3" s="656"/>
      <c r="M3" s="656"/>
      <c r="N3" s="656"/>
      <c r="O3" s="656"/>
      <c r="P3" s="656"/>
      <c r="Q3" s="656"/>
      <c r="R3" s="656"/>
      <c r="S3" s="656"/>
      <c r="T3" s="656"/>
      <c r="U3" s="656"/>
      <c r="V3" s="656"/>
      <c r="W3" s="651"/>
      <c r="X3" s="651"/>
      <c r="Y3" s="651"/>
      <c r="Z3" s="651"/>
      <c r="AA3" s="651"/>
      <c r="AB3" s="651"/>
      <c r="AC3" s="651"/>
      <c r="AD3" s="651"/>
      <c r="AE3" s="651"/>
      <c r="AF3" s="19"/>
    </row>
    <row r="4" spans="1:32" ht="15">
      <c r="A4" s="651"/>
      <c r="B4" s="656"/>
      <c r="C4" s="132"/>
      <c r="D4" s="133"/>
      <c r="E4" s="134" t="s">
        <v>26</v>
      </c>
      <c r="F4" s="135" t="str">
        <f ca="1">CELL("filename",B4:B4)</f>
        <v>F:\exceledSiteWebD\systems\[salarycalc.xls]APTC COST</v>
      </c>
      <c r="G4" s="136"/>
      <c r="H4" s="133"/>
      <c r="I4" s="133"/>
      <c r="J4" s="133"/>
      <c r="K4" s="133"/>
      <c r="L4" s="133"/>
      <c r="M4" s="133"/>
      <c r="N4" s="133"/>
      <c r="O4" s="133"/>
      <c r="P4" s="133"/>
      <c r="Q4" s="133"/>
      <c r="R4" s="133"/>
      <c r="S4" s="133"/>
      <c r="T4" s="133"/>
      <c r="U4" s="137"/>
      <c r="V4" s="656"/>
      <c r="W4" s="651"/>
      <c r="X4" s="651"/>
      <c r="Y4" s="651"/>
      <c r="Z4" s="651"/>
      <c r="AA4" s="651"/>
      <c r="AB4" s="651"/>
      <c r="AC4" s="651"/>
      <c r="AD4" s="651"/>
      <c r="AE4" s="651"/>
      <c r="AF4" s="19"/>
    </row>
    <row r="5" spans="1:32" ht="18">
      <c r="A5" s="651"/>
      <c r="B5" s="656"/>
      <c r="C5" s="138" t="s">
        <v>121</v>
      </c>
      <c r="D5" s="54"/>
      <c r="E5" s="54"/>
      <c r="F5" s="54"/>
      <c r="G5" s="58"/>
      <c r="H5" s="54"/>
      <c r="I5" s="54"/>
      <c r="J5" s="54"/>
      <c r="K5" s="139"/>
      <c r="L5" s="139" t="str">
        <f>('TEACHER COST'!$I$8)</f>
        <v>2005/2006</v>
      </c>
      <c r="M5" s="54"/>
      <c r="N5" s="140" t="str">
        <f>('Terms of Use'!$H$31)</f>
        <v>SELECT SCHOOL NAME FROM LIST</v>
      </c>
      <c r="O5" s="54"/>
      <c r="P5" s="54"/>
      <c r="Q5" s="54"/>
      <c r="R5" s="54"/>
      <c r="S5" s="54"/>
      <c r="T5" s="54"/>
      <c r="U5" s="59"/>
      <c r="V5" s="658"/>
      <c r="W5" s="651"/>
      <c r="X5" s="651"/>
      <c r="Y5" s="651"/>
      <c r="Z5" s="651"/>
      <c r="AA5" s="651"/>
      <c r="AB5" s="651"/>
      <c r="AC5" s="651"/>
      <c r="AD5" s="651"/>
      <c r="AE5" s="651"/>
      <c r="AF5" s="19"/>
    </row>
    <row r="6" spans="1:32" ht="18.75" thickBot="1">
      <c r="A6" s="651"/>
      <c r="B6" s="656"/>
      <c r="C6" s="629" t="str">
        <f>IF('Terms of Use'!$H$31='Terms of Use'!$O$2,"   **UNAUTHORISED USER!  THIS DOCUMENT WILL NOT CALCULATE ACCURATELY**",0)</f>
        <v>   **UNAUTHORISED USER!  THIS DOCUMENT WILL NOT CALCULATE ACCURATELY**</v>
      </c>
      <c r="D6" s="54"/>
      <c r="E6" s="54"/>
      <c r="F6" s="54"/>
      <c r="G6" s="58"/>
      <c r="H6" s="54"/>
      <c r="I6" s="54"/>
      <c r="J6" s="54"/>
      <c r="K6" s="54"/>
      <c r="L6" s="54"/>
      <c r="M6" s="54"/>
      <c r="N6" s="54"/>
      <c r="O6" s="54"/>
      <c r="P6" s="54"/>
      <c r="Q6" s="421">
        <f>IF('Terms of Use'!$Z$67=0,"INVALID ORGANISATION NAME… DOCUMENT WILL NOT CALCULATE ACCURATELY.  PLEASE TRY AGAIN.",0)</f>
        <v>0</v>
      </c>
      <c r="R6" s="54"/>
      <c r="S6" s="54"/>
      <c r="T6" s="54"/>
      <c r="U6" s="59"/>
      <c r="V6" s="656"/>
      <c r="W6" s="651"/>
      <c r="X6" s="651"/>
      <c r="Y6" s="651"/>
      <c r="Z6" s="651"/>
      <c r="AA6" s="651"/>
      <c r="AB6" s="651"/>
      <c r="AC6" s="651"/>
      <c r="AD6" s="651"/>
      <c r="AE6" s="651"/>
      <c r="AF6" s="19"/>
    </row>
    <row r="7" spans="1:32" ht="16.5" thickBot="1">
      <c r="A7" s="651"/>
      <c r="B7" s="656"/>
      <c r="C7" s="108" t="s">
        <v>128</v>
      </c>
      <c r="D7" s="39"/>
      <c r="E7" s="40"/>
      <c r="F7" s="41"/>
      <c r="G7" s="141"/>
      <c r="H7" s="41"/>
      <c r="I7" s="480" t="s">
        <v>203</v>
      </c>
      <c r="J7" s="41"/>
      <c r="K7" s="480" t="s">
        <v>203</v>
      </c>
      <c r="L7" s="54"/>
      <c r="M7" s="54"/>
      <c r="N7" s="41"/>
      <c r="O7" s="41"/>
      <c r="P7" s="41"/>
      <c r="Q7" s="41"/>
      <c r="R7" s="41"/>
      <c r="S7" s="54"/>
      <c r="T7" s="54"/>
      <c r="U7" s="59"/>
      <c r="V7" s="656"/>
      <c r="W7" s="651"/>
      <c r="X7" s="651"/>
      <c r="Y7" s="651"/>
      <c r="Z7" s="651"/>
      <c r="AA7" s="651"/>
      <c r="AB7" s="651"/>
      <c r="AC7" s="651"/>
      <c r="AD7" s="651"/>
      <c r="AE7" s="651"/>
      <c r="AF7" s="19"/>
    </row>
    <row r="8" spans="1:32" ht="18">
      <c r="A8" s="651"/>
      <c r="B8" s="656"/>
      <c r="C8" s="103"/>
      <c r="D8" s="98">
        <v>1</v>
      </c>
      <c r="E8" s="42" t="s">
        <v>27</v>
      </c>
      <c r="F8" s="43"/>
      <c r="G8" s="145" t="s">
        <v>28</v>
      </c>
      <c r="H8" s="146" t="s">
        <v>29</v>
      </c>
      <c r="I8" s="146"/>
      <c r="J8" s="146" t="s">
        <v>132</v>
      </c>
      <c r="K8" s="146" t="s">
        <v>30</v>
      </c>
      <c r="L8" s="146" t="s">
        <v>31</v>
      </c>
      <c r="M8" s="43"/>
      <c r="N8" s="44" t="s">
        <v>9</v>
      </c>
      <c r="O8" s="157"/>
      <c r="P8" s="152" t="s">
        <v>8</v>
      </c>
      <c r="Q8" s="45" t="s">
        <v>134</v>
      </c>
      <c r="R8" s="45" t="s">
        <v>130</v>
      </c>
      <c r="S8" s="635" t="s">
        <v>17</v>
      </c>
      <c r="T8" s="46" t="s">
        <v>3</v>
      </c>
      <c r="U8" s="74" t="s">
        <v>8</v>
      </c>
      <c r="V8" s="656"/>
      <c r="W8" s="651"/>
      <c r="X8" s="651"/>
      <c r="Y8" s="651"/>
      <c r="Z8" s="651"/>
      <c r="AA8" s="651"/>
      <c r="AB8" s="651"/>
      <c r="AC8" s="651"/>
      <c r="AD8" s="651"/>
      <c r="AE8" s="651"/>
      <c r="AF8" s="19"/>
    </row>
    <row r="9" spans="1:32" ht="18">
      <c r="A9" s="651"/>
      <c r="B9" s="656"/>
      <c r="C9" s="104"/>
      <c r="D9" s="99">
        <v>2</v>
      </c>
      <c r="E9" s="48" t="s">
        <v>131</v>
      </c>
      <c r="F9" s="49" t="s">
        <v>2</v>
      </c>
      <c r="G9" s="147" t="s">
        <v>18</v>
      </c>
      <c r="H9" s="148" t="s">
        <v>18</v>
      </c>
      <c r="I9" s="148"/>
      <c r="J9" s="148" t="s">
        <v>15</v>
      </c>
      <c r="K9" s="148" t="s">
        <v>32</v>
      </c>
      <c r="L9" s="148" t="s">
        <v>193</v>
      </c>
      <c r="M9" s="49" t="s">
        <v>3</v>
      </c>
      <c r="N9" s="50" t="s">
        <v>125</v>
      </c>
      <c r="O9" s="158"/>
      <c r="P9" s="153" t="s">
        <v>11</v>
      </c>
      <c r="Q9" s="51" t="s">
        <v>114</v>
      </c>
      <c r="R9" s="51" t="s">
        <v>38</v>
      </c>
      <c r="S9" s="636" t="s">
        <v>8</v>
      </c>
      <c r="T9" s="52" t="s">
        <v>20</v>
      </c>
      <c r="U9" s="75" t="s">
        <v>11</v>
      </c>
      <c r="V9" s="656"/>
      <c r="W9" s="651"/>
      <c r="X9" s="651"/>
      <c r="Y9" s="651"/>
      <c r="Z9" s="651"/>
      <c r="AA9" s="651"/>
      <c r="AB9" s="651"/>
      <c r="AC9" s="651"/>
      <c r="AD9" s="651"/>
      <c r="AE9" s="651"/>
      <c r="AF9" s="19"/>
    </row>
    <row r="10" spans="1:32" ht="18.75" thickBot="1">
      <c r="A10" s="651"/>
      <c r="B10" s="656"/>
      <c r="C10" s="104"/>
      <c r="D10" s="99">
        <v>3</v>
      </c>
      <c r="E10" s="53" t="s">
        <v>75</v>
      </c>
      <c r="F10" s="49" t="s">
        <v>6</v>
      </c>
      <c r="G10" s="147" t="s">
        <v>21</v>
      </c>
      <c r="H10" s="148" t="s">
        <v>22</v>
      </c>
      <c r="I10" s="148"/>
      <c r="J10" s="148" t="s">
        <v>83</v>
      </c>
      <c r="K10" s="149" t="s">
        <v>129</v>
      </c>
      <c r="L10" s="149" t="s">
        <v>194</v>
      </c>
      <c r="M10" s="49" t="s">
        <v>16</v>
      </c>
      <c r="N10" s="50" t="s">
        <v>126</v>
      </c>
      <c r="O10" s="159" t="s">
        <v>5</v>
      </c>
      <c r="P10" s="153"/>
      <c r="Q10" s="51" t="s">
        <v>32</v>
      </c>
      <c r="R10" s="51" t="s">
        <v>83</v>
      </c>
      <c r="S10" s="636" t="s">
        <v>164</v>
      </c>
      <c r="T10" s="52"/>
      <c r="U10" s="75" t="s">
        <v>135</v>
      </c>
      <c r="V10" s="656"/>
      <c r="W10" s="651"/>
      <c r="X10" s="651"/>
      <c r="Y10" s="651"/>
      <c r="Z10" s="651"/>
      <c r="AA10" s="651"/>
      <c r="AB10" s="651"/>
      <c r="AC10" s="651"/>
      <c r="AD10" s="651"/>
      <c r="AE10" s="651"/>
      <c r="AF10" s="19"/>
    </row>
    <row r="11" spans="1:32" ht="18.75" thickBot="1">
      <c r="A11" s="651"/>
      <c r="B11" s="656"/>
      <c r="C11" s="105"/>
      <c r="D11" s="99">
        <v>4</v>
      </c>
      <c r="E11" s="53" t="s">
        <v>33</v>
      </c>
      <c r="F11" s="501"/>
      <c r="G11" s="502"/>
      <c r="H11" s="503"/>
      <c r="I11" s="503"/>
      <c r="J11" s="503"/>
      <c r="K11" s="504" t="s">
        <v>86</v>
      </c>
      <c r="L11" s="479" t="s">
        <v>83</v>
      </c>
      <c r="M11" s="64"/>
      <c r="N11" s="505" t="s">
        <v>127</v>
      </c>
      <c r="O11" s="506"/>
      <c r="P11" s="507"/>
      <c r="Q11" s="67"/>
      <c r="R11" s="67"/>
      <c r="S11" s="637"/>
      <c r="T11" s="508"/>
      <c r="U11" s="509" t="s">
        <v>3</v>
      </c>
      <c r="V11" s="656"/>
      <c r="W11" s="651"/>
      <c r="X11" s="659"/>
      <c r="Y11" s="660" t="s">
        <v>167</v>
      </c>
      <c r="Z11" s="660" t="s">
        <v>168</v>
      </c>
      <c r="AA11" s="651"/>
      <c r="AB11" s="651"/>
      <c r="AC11" s="651"/>
      <c r="AD11" s="651"/>
      <c r="AE11" s="651"/>
      <c r="AF11" s="19"/>
    </row>
    <row r="12" spans="1:32" ht="18.75" thickBot="1">
      <c r="A12" s="651"/>
      <c r="B12" s="656"/>
      <c r="C12" s="105"/>
      <c r="D12" s="101"/>
      <c r="E12" s="57"/>
      <c r="F12" s="41"/>
      <c r="G12" s="150"/>
      <c r="H12" s="47"/>
      <c r="I12" s="47"/>
      <c r="J12" s="47"/>
      <c r="K12" s="47"/>
      <c r="L12" s="47"/>
      <c r="M12" s="59"/>
      <c r="N12" s="60"/>
      <c r="O12" s="158"/>
      <c r="P12" s="154"/>
      <c r="Q12" s="55"/>
      <c r="R12" s="55"/>
      <c r="S12" s="638"/>
      <c r="T12" s="61"/>
      <c r="U12" s="76"/>
      <c r="V12" s="656"/>
      <c r="W12" s="651"/>
      <c r="X12" s="510"/>
      <c r="Y12" s="661" t="s">
        <v>161</v>
      </c>
      <c r="Z12" s="661" t="s">
        <v>161</v>
      </c>
      <c r="AA12" s="651"/>
      <c r="AB12" s="651"/>
      <c r="AC12" s="651"/>
      <c r="AD12" s="651"/>
      <c r="AE12" s="651"/>
      <c r="AF12" s="19"/>
    </row>
    <row r="13" spans="1:32" ht="27.75" customHeight="1" thickBot="1">
      <c r="A13" s="651"/>
      <c r="B13" s="656"/>
      <c r="C13" s="106" t="s">
        <v>136</v>
      </c>
      <c r="D13" s="102">
        <v>1</v>
      </c>
      <c r="E13" s="63" t="str">
        <f>IF(D13=1,$E$8,(IF(D13=2,$E$9,(IF(D13=3,$E$10,(IF(D13=4,$E$11,(IF(D13=5,#REF!,"Extra")))))))))</f>
        <v>Admin.</v>
      </c>
      <c r="F13" s="662">
        <v>0</v>
      </c>
      <c r="G13" s="663">
        <v>0</v>
      </c>
      <c r="H13" s="664">
        <v>0</v>
      </c>
      <c r="I13" s="665">
        <f>IF(H13&gt;46,0,(J13/40*H13*G13))</f>
        <v>0</v>
      </c>
      <c r="J13" s="666">
        <v>0</v>
      </c>
      <c r="K13" s="667"/>
      <c r="L13" s="668"/>
      <c r="M13" s="669"/>
      <c r="N13" s="93">
        <f>(G13*H13)+I13</f>
        <v>0</v>
      </c>
      <c r="O13" s="160">
        <f>IF(OR(D13=1,D13=5),N13/('Salary Scales'!$I$6*52),N13/('Salary Scales'!$I$7*52))</f>
        <v>0</v>
      </c>
      <c r="P13" s="155">
        <f>IF(F13&lt;0.01,0,(VLOOKUP(F13,'Salary Scales'!$F$71:$G$122,2)))*O13</f>
        <v>0</v>
      </c>
      <c r="Q13" s="94">
        <f>'Salary Scales'!M$100*O13</f>
        <v>0</v>
      </c>
      <c r="R13" s="95" t="s">
        <v>82</v>
      </c>
      <c r="S13" s="639">
        <f>SUM(L13)+SUM(P13:R13)</f>
        <v>0</v>
      </c>
      <c r="T13" s="96">
        <f>(S13)/100*M13</f>
        <v>0</v>
      </c>
      <c r="U13" s="97">
        <f>S13+T13</f>
        <v>0</v>
      </c>
      <c r="V13" s="656"/>
      <c r="W13" s="651"/>
      <c r="X13" s="62" t="s">
        <v>136</v>
      </c>
      <c r="Y13" s="450">
        <f>IF($G13&lt;0.001,0,($S13/(SUM($G13*$H13))))</f>
        <v>0</v>
      </c>
      <c r="Z13" s="450">
        <f>IF($H13&lt;0.001,0,(S13/N13+(S13/N13*8.31%)))</f>
        <v>0</v>
      </c>
      <c r="AA13" s="651"/>
      <c r="AB13" s="651"/>
      <c r="AC13" s="651"/>
      <c r="AD13" s="651"/>
      <c r="AE13" s="651"/>
      <c r="AF13" s="19"/>
    </row>
    <row r="14" spans="1:32" ht="27.75" customHeight="1" thickBot="1">
      <c r="A14" s="651"/>
      <c r="B14" s="656"/>
      <c r="C14" s="106" t="s">
        <v>97</v>
      </c>
      <c r="D14" s="102">
        <v>2</v>
      </c>
      <c r="E14" s="63" t="str">
        <f>IF(D14=1,$E$8,(IF(D14=2,$E$9,(IF(D14=3,$E$10,(IF(D14=4,$E$11,(IF(D14=5,#REF!,"Extra")))))))))</f>
        <v>N. Nurse</v>
      </c>
      <c r="F14" s="662">
        <v>0</v>
      </c>
      <c r="G14" s="663">
        <v>0</v>
      </c>
      <c r="H14" s="664">
        <v>0</v>
      </c>
      <c r="I14" s="665">
        <f>IF(H14&gt;46,0,(J14/40*H14*G14))</f>
        <v>0</v>
      </c>
      <c r="J14" s="666">
        <v>0</v>
      </c>
      <c r="K14" s="670"/>
      <c r="L14" s="668"/>
      <c r="M14" s="669"/>
      <c r="N14" s="93">
        <f>(G14*H14)+I14</f>
        <v>0</v>
      </c>
      <c r="O14" s="160">
        <f>IF(OR(D14=1,D14=5),N14/('Salary Scales'!$I$6*52),N14/('Salary Scales'!$I$7*52))</f>
        <v>0</v>
      </c>
      <c r="P14" s="155">
        <f>IF(F14&lt;0.01,0,(VLOOKUP(F14,'Salary Scales'!$F$71:$G$122,2)))*O14</f>
        <v>0</v>
      </c>
      <c r="Q14" s="94">
        <f>'Salary Scales'!M$100*O14</f>
        <v>0</v>
      </c>
      <c r="R14" s="95" t="s">
        <v>82</v>
      </c>
      <c r="S14" s="639">
        <f>SUM(L14)+SUM(P14:R14)</f>
        <v>0</v>
      </c>
      <c r="T14" s="96">
        <f>(S14)/100*M14</f>
        <v>0</v>
      </c>
      <c r="U14" s="97">
        <f>S14+T14</f>
        <v>0</v>
      </c>
      <c r="V14" s="656"/>
      <c r="W14" s="651"/>
      <c r="X14" s="62" t="s">
        <v>97</v>
      </c>
      <c r="Y14" s="451">
        <f>IF($G14&lt;0.001,0,($S14/(SUM($G14*40))))</f>
        <v>0</v>
      </c>
      <c r="Z14" s="451">
        <f>IF($H14&lt;0.001,0,(S14/N14+(S14/N14*8.31%)))</f>
        <v>0</v>
      </c>
      <c r="AA14" s="651"/>
      <c r="AB14" s="651"/>
      <c r="AC14" s="651"/>
      <c r="AD14" s="651"/>
      <c r="AE14" s="651"/>
      <c r="AF14" s="19"/>
    </row>
    <row r="15" spans="1:32" ht="27.75" customHeight="1" thickBot="1">
      <c r="A15" s="651"/>
      <c r="B15" s="656"/>
      <c r="C15" s="106" t="s">
        <v>204</v>
      </c>
      <c r="D15" s="102">
        <v>3</v>
      </c>
      <c r="E15" s="63" t="str">
        <f>IF(D15=1,$E$8,(IF(D15=2,$E$9,(IF(D15=3,$E$10,(IF(D15=4,$E$11,(IF(D15=5,#REF!,"Extra")))))))))</f>
        <v>Class Asst.</v>
      </c>
      <c r="F15" s="662">
        <v>21</v>
      </c>
      <c r="G15" s="663">
        <v>24</v>
      </c>
      <c r="H15" s="664">
        <v>40</v>
      </c>
      <c r="I15" s="665">
        <f>IF(H15&gt;46,0,(J15/40*H15*G15))</f>
        <v>125.28000000000002</v>
      </c>
      <c r="J15" s="666">
        <v>5.22</v>
      </c>
      <c r="K15" s="671">
        <v>0</v>
      </c>
      <c r="L15" s="668"/>
      <c r="M15" s="669"/>
      <c r="N15" s="93">
        <f>(G15*H15)+I15</f>
        <v>1085.28</v>
      </c>
      <c r="O15" s="160">
        <f>IF(OR(D15=1,D15=5),N15/('Salary Scales'!$I$6*52),N15/('Salary Scales'!$I$7*52))</f>
        <v>0.5797435897435897</v>
      </c>
      <c r="P15" s="155">
        <f>IF(F15&lt;0.01,0,(VLOOKUP(F15,'Salary Scales'!$F$71:$G$122,2)))*O15</f>
        <v>10735.691794871795</v>
      </c>
      <c r="Q15" s="94">
        <f>'Salary Scales'!M$100*O15</f>
        <v>0</v>
      </c>
      <c r="R15" s="95">
        <f>IF(K15=0,0,O15*'Salary Scales'!M89)</f>
        <v>0</v>
      </c>
      <c r="S15" s="639">
        <f>SUM(L15)+SUM(P15:R15)</f>
        <v>10735.691794871795</v>
      </c>
      <c r="T15" s="96">
        <f>(S15)/100*M15</f>
        <v>0</v>
      </c>
      <c r="U15" s="97">
        <f>S15+T15</f>
        <v>10735.691794871795</v>
      </c>
      <c r="V15" s="656"/>
      <c r="W15" s="651"/>
      <c r="X15" s="62" t="s">
        <v>123</v>
      </c>
      <c r="Y15" s="451">
        <f>IF($G15&lt;0.001,0,($S15/(SUM($G15*40))))</f>
        <v>11.183012286324786</v>
      </c>
      <c r="Z15" s="451">
        <f>IF($H15&lt;0.001,0,(S15/N15+(S15/N15*8.31%)))</f>
        <v>10.714127029914529</v>
      </c>
      <c r="AA15" s="651"/>
      <c r="AB15" s="651"/>
      <c r="AC15" s="651"/>
      <c r="AD15" s="651"/>
      <c r="AE15" s="651"/>
      <c r="AF15" s="19"/>
    </row>
    <row r="16" spans="1:32" ht="27.75" customHeight="1" thickBot="1">
      <c r="A16" s="651"/>
      <c r="B16" s="656"/>
      <c r="C16" s="106" t="s">
        <v>205</v>
      </c>
      <c r="D16" s="102">
        <v>4</v>
      </c>
      <c r="E16" s="63" t="str">
        <f>IF(D16=1,$E$8,(IF(D16=2,$E$9,(IF(D16=3,$E$10,(IF(D16=4,$E$11,(IF(D16=5,#REF!,"Extra")))))))))</f>
        <v>Welfare</v>
      </c>
      <c r="F16" s="662">
        <v>0</v>
      </c>
      <c r="G16" s="663">
        <v>0</v>
      </c>
      <c r="H16" s="664">
        <v>0</v>
      </c>
      <c r="I16" s="665">
        <f>IF(H16&gt;46,0,(J16/40*H16*G16))</f>
        <v>0</v>
      </c>
      <c r="J16" s="666">
        <v>0</v>
      </c>
      <c r="K16" s="670"/>
      <c r="L16" s="668"/>
      <c r="M16" s="669"/>
      <c r="N16" s="93">
        <f>(G16*H16)+I16</f>
        <v>0</v>
      </c>
      <c r="O16" s="160">
        <f>IF(OR(D16=1,D16=5),N16/('Salary Scales'!$I$6*52),N16/('Salary Scales'!$I$7*52))</f>
        <v>0</v>
      </c>
      <c r="P16" s="155">
        <f>IF(F16&lt;0.01,0,(VLOOKUP(F16,'Salary Scales'!$F$71:$G$122,2)))*O16</f>
        <v>0</v>
      </c>
      <c r="Q16" s="94">
        <f>'Salary Scales'!M$100*O16</f>
        <v>0</v>
      </c>
      <c r="R16" s="95" t="s">
        <v>82</v>
      </c>
      <c r="S16" s="639">
        <f>SUM(L16)+SUM(P16:R16)</f>
        <v>0</v>
      </c>
      <c r="T16" s="96">
        <f>(S16)/100*M16</f>
        <v>0</v>
      </c>
      <c r="U16" s="97">
        <f>S16+T16</f>
        <v>0</v>
      </c>
      <c r="V16" s="656"/>
      <c r="W16" s="651"/>
      <c r="X16" s="62" t="s">
        <v>124</v>
      </c>
      <c r="Y16" s="451">
        <f>IF($G16&lt;0.001,0,($S16/(SUM($G16*40))))</f>
        <v>0</v>
      </c>
      <c r="Z16" s="451">
        <f>IF($H16&lt;0.001,0,(S16/N16+(S16/N16*8.31%)))</f>
        <v>0</v>
      </c>
      <c r="AA16" s="651"/>
      <c r="AB16" s="651"/>
      <c r="AC16" s="651"/>
      <c r="AD16" s="651"/>
      <c r="AE16" s="651"/>
      <c r="AF16" s="19"/>
    </row>
    <row r="17" spans="1:32" ht="27.75" customHeight="1" thickBot="1">
      <c r="A17" s="651"/>
      <c r="B17" s="656"/>
      <c r="C17" s="106" t="s">
        <v>133</v>
      </c>
      <c r="D17" s="102">
        <v>5</v>
      </c>
      <c r="E17" s="63" t="e">
        <f>IF(D17=1,$E$8,(IF(D17=2,$E$9,(IF(D17=3,$E$10,(IF(D17=4,$E$11,(IF(D17=5,#REF!,"Extra")))))))))</f>
        <v>#REF!</v>
      </c>
      <c r="F17" s="662">
        <v>0</v>
      </c>
      <c r="G17" s="663">
        <v>0</v>
      </c>
      <c r="H17" s="664">
        <v>0</v>
      </c>
      <c r="I17" s="665">
        <f>IF(H17&gt;46,0,(J17/40*H17*G17))</f>
        <v>0</v>
      </c>
      <c r="J17" s="666">
        <v>0</v>
      </c>
      <c r="K17" s="667"/>
      <c r="L17" s="668"/>
      <c r="M17" s="669"/>
      <c r="N17" s="93">
        <f>(G17*H17)+I17</f>
        <v>0</v>
      </c>
      <c r="O17" s="160">
        <f>IF(OR(D17=1,D17=5),N17/('Salary Scales'!$I$6*52),N17/('Salary Scales'!$I$7*52))</f>
        <v>0</v>
      </c>
      <c r="P17" s="155">
        <f>IF(F17&lt;0.01,0,(VLOOKUP(F17,'Salary Scales'!$F$71:$G$122,2)))*O17</f>
        <v>0</v>
      </c>
      <c r="Q17" s="94">
        <f>'Salary Scales'!M$100*O17</f>
        <v>0</v>
      </c>
      <c r="R17" s="95" t="s">
        <v>82</v>
      </c>
      <c r="S17" s="639">
        <f>SUM(L17)+SUM(P17:R17)</f>
        <v>0</v>
      </c>
      <c r="T17" s="96">
        <f>(S17)/100*M17</f>
        <v>0</v>
      </c>
      <c r="U17" s="97">
        <f>S17+T17</f>
        <v>0</v>
      </c>
      <c r="V17" s="656"/>
      <c r="W17" s="651"/>
      <c r="X17" s="62" t="s">
        <v>133</v>
      </c>
      <c r="Y17" s="451">
        <f>IF($G17&lt;0.001,0,($S17/(SUM($G17*$H17))))</f>
        <v>0</v>
      </c>
      <c r="Z17" s="451">
        <f>IF($H17&lt;0.001,0,(S17/N17+(S17/N17*8.31%)))</f>
        <v>0</v>
      </c>
      <c r="AA17" s="651"/>
      <c r="AB17" s="651"/>
      <c r="AC17" s="651"/>
      <c r="AD17" s="651"/>
      <c r="AE17" s="651"/>
      <c r="AF17" s="19"/>
    </row>
    <row r="18" spans="1:32" ht="18.75" thickBot="1">
      <c r="A18" s="651"/>
      <c r="B18" s="656"/>
      <c r="C18" s="107"/>
      <c r="D18" s="100"/>
      <c r="E18" s="56"/>
      <c r="F18" s="64"/>
      <c r="G18" s="151"/>
      <c r="H18" s="56"/>
      <c r="I18" s="56"/>
      <c r="J18" s="56"/>
      <c r="K18" s="56"/>
      <c r="L18" s="56"/>
      <c r="M18" s="65"/>
      <c r="N18" s="66"/>
      <c r="O18" s="161"/>
      <c r="P18" s="156"/>
      <c r="Q18" s="67"/>
      <c r="R18" s="67"/>
      <c r="S18" s="640"/>
      <c r="T18" s="68"/>
      <c r="U18" s="77"/>
      <c r="V18" s="656"/>
      <c r="W18" s="651"/>
      <c r="X18" s="511"/>
      <c r="Y18" s="672"/>
      <c r="Z18" s="672"/>
      <c r="AA18" s="651"/>
      <c r="AB18" s="651"/>
      <c r="AC18" s="651"/>
      <c r="AD18" s="651"/>
      <c r="AE18" s="651"/>
      <c r="AF18" s="19"/>
    </row>
    <row r="19" spans="1:32" ht="5.25" customHeight="1">
      <c r="A19" s="651"/>
      <c r="B19" s="656"/>
      <c r="C19" s="673"/>
      <c r="D19" s="673"/>
      <c r="E19" s="673"/>
      <c r="F19" s="673"/>
      <c r="G19" s="674"/>
      <c r="H19" s="675"/>
      <c r="I19" s="675"/>
      <c r="J19" s="675"/>
      <c r="K19" s="675"/>
      <c r="L19" s="675"/>
      <c r="M19" s="676"/>
      <c r="N19" s="675"/>
      <c r="O19" s="674"/>
      <c r="P19" s="675"/>
      <c r="Q19" s="675"/>
      <c r="R19" s="675"/>
      <c r="S19" s="675"/>
      <c r="T19" s="675"/>
      <c r="U19" s="675"/>
      <c r="V19" s="656"/>
      <c r="W19" s="677"/>
      <c r="X19" s="677"/>
      <c r="Y19" s="677"/>
      <c r="Z19" s="677"/>
      <c r="AA19" s="677"/>
      <c r="AB19" s="677"/>
      <c r="AC19" s="677"/>
      <c r="AD19" s="677"/>
      <c r="AE19" s="677"/>
      <c r="AF19" s="22"/>
    </row>
    <row r="20" spans="1:32" ht="15.75" thickBot="1">
      <c r="A20" s="651"/>
      <c r="B20" s="651"/>
      <c r="C20" s="678"/>
      <c r="D20" s="678"/>
      <c r="E20" s="678"/>
      <c r="F20" s="678"/>
      <c r="G20" s="679"/>
      <c r="H20" s="678"/>
      <c r="I20" s="678"/>
      <c r="J20" s="678"/>
      <c r="K20" s="678"/>
      <c r="L20" s="678"/>
      <c r="M20" s="678"/>
      <c r="N20" s="678"/>
      <c r="O20" s="678"/>
      <c r="P20" s="678"/>
      <c r="Q20" s="678"/>
      <c r="R20" s="678"/>
      <c r="S20" s="678"/>
      <c r="T20" s="678"/>
      <c r="U20" s="678"/>
      <c r="V20" s="651"/>
      <c r="W20" s="651"/>
      <c r="X20" s="651"/>
      <c r="Y20" s="651"/>
      <c r="Z20" s="651"/>
      <c r="AA20" s="651"/>
      <c r="AB20" s="651"/>
      <c r="AC20" s="651"/>
      <c r="AD20" s="651"/>
      <c r="AE20" s="651"/>
      <c r="AF20" s="19"/>
    </row>
    <row r="21" spans="1:32" ht="16.5" thickTop="1">
      <c r="A21" s="678"/>
      <c r="B21" s="678"/>
      <c r="C21" s="678"/>
      <c r="D21" s="678"/>
      <c r="E21" s="678"/>
      <c r="F21" s="678"/>
      <c r="G21" s="678"/>
      <c r="H21" s="678"/>
      <c r="I21" s="678"/>
      <c r="J21" s="678"/>
      <c r="K21" s="678"/>
      <c r="L21" s="678"/>
      <c r="M21" s="678"/>
      <c r="N21" s="678"/>
      <c r="O21" s="651"/>
      <c r="P21" s="680">
        <v>5.22</v>
      </c>
      <c r="Q21" s="681" t="s">
        <v>195</v>
      </c>
      <c r="R21" s="682"/>
      <c r="S21" s="682"/>
      <c r="T21" s="682"/>
      <c r="U21" s="682"/>
      <c r="V21" s="682"/>
      <c r="W21" s="682"/>
      <c r="X21" s="683"/>
      <c r="Y21" s="651"/>
      <c r="Z21" s="651"/>
      <c r="AA21" s="651"/>
      <c r="AB21" s="651"/>
      <c r="AC21" s="651"/>
      <c r="AD21" s="651"/>
      <c r="AE21" s="651"/>
      <c r="AF21" s="19"/>
    </row>
    <row r="22" spans="1:32" ht="15.75">
      <c r="A22" s="678"/>
      <c r="B22" s="678"/>
      <c r="C22" s="678"/>
      <c r="D22" s="678"/>
      <c r="E22" s="678"/>
      <c r="F22" s="678"/>
      <c r="G22" s="678"/>
      <c r="H22" s="678"/>
      <c r="I22" s="678"/>
      <c r="J22" s="678"/>
      <c r="K22" s="678"/>
      <c r="L22" s="678"/>
      <c r="M22" s="678"/>
      <c r="N22" s="678"/>
      <c r="O22" s="651"/>
      <c r="P22" s="684">
        <v>5.61</v>
      </c>
      <c r="Q22" s="685" t="s">
        <v>196</v>
      </c>
      <c r="R22" s="54"/>
      <c r="S22" s="54"/>
      <c r="T22" s="54"/>
      <c r="U22" s="54"/>
      <c r="V22" s="54"/>
      <c r="W22" s="54"/>
      <c r="X22" s="686"/>
      <c r="Y22" s="651"/>
      <c r="Z22" s="651"/>
      <c r="AA22" s="651"/>
      <c r="AB22" s="651"/>
      <c r="AC22" s="651"/>
      <c r="AD22" s="651"/>
      <c r="AE22" s="651"/>
      <c r="AF22" s="19"/>
    </row>
    <row r="23" spans="1:32" ht="15.75">
      <c r="A23" s="678"/>
      <c r="B23" s="678"/>
      <c r="C23" s="678"/>
      <c r="D23" s="678"/>
      <c r="E23" s="678"/>
      <c r="F23" s="678"/>
      <c r="G23" s="678"/>
      <c r="H23" s="678"/>
      <c r="I23" s="678"/>
      <c r="J23" s="678"/>
      <c r="K23" s="678"/>
      <c r="L23" s="678"/>
      <c r="M23" s="678"/>
      <c r="N23" s="678"/>
      <c r="O23" s="651"/>
      <c r="P23" s="684">
        <v>6.02</v>
      </c>
      <c r="Q23" s="685" t="s">
        <v>197</v>
      </c>
      <c r="R23" s="54"/>
      <c r="S23" s="54"/>
      <c r="T23" s="54"/>
      <c r="U23" s="54"/>
      <c r="V23" s="54"/>
      <c r="W23" s="54"/>
      <c r="X23" s="686"/>
      <c r="Y23" s="651"/>
      <c r="Z23" s="651"/>
      <c r="AA23" s="651"/>
      <c r="AB23" s="651"/>
      <c r="AC23" s="651"/>
      <c r="AD23" s="651"/>
      <c r="AE23" s="651"/>
      <c r="AF23" s="21"/>
    </row>
    <row r="24" spans="1:32" ht="15.75">
      <c r="A24" s="678"/>
      <c r="B24" s="678"/>
      <c r="C24" s="678"/>
      <c r="D24" s="678"/>
      <c r="E24" s="678"/>
      <c r="F24" s="678"/>
      <c r="G24" s="678"/>
      <c r="H24" s="678"/>
      <c r="I24" s="678"/>
      <c r="J24" s="678"/>
      <c r="K24" s="678"/>
      <c r="L24" s="678"/>
      <c r="M24" s="678"/>
      <c r="N24" s="678"/>
      <c r="O24" s="651"/>
      <c r="P24" s="684">
        <v>6.23</v>
      </c>
      <c r="Q24" s="685" t="s">
        <v>198</v>
      </c>
      <c r="R24" s="54"/>
      <c r="S24" s="54"/>
      <c r="T24" s="54"/>
      <c r="U24" s="54"/>
      <c r="V24" s="54"/>
      <c r="W24" s="54"/>
      <c r="X24" s="686"/>
      <c r="Y24" s="651"/>
      <c r="Z24" s="651"/>
      <c r="AA24" s="651"/>
      <c r="AB24" s="651"/>
      <c r="AC24" s="651"/>
      <c r="AD24" s="651"/>
      <c r="AE24" s="651"/>
      <c r="AF24" s="19"/>
    </row>
    <row r="25" spans="1:32" ht="15.75">
      <c r="A25" s="678"/>
      <c r="B25" s="678"/>
      <c r="C25" s="678"/>
      <c r="D25" s="678"/>
      <c r="E25" s="678"/>
      <c r="F25" s="678"/>
      <c r="G25" s="679"/>
      <c r="H25" s="678"/>
      <c r="I25" s="678"/>
      <c r="J25" s="678"/>
      <c r="K25" s="678"/>
      <c r="L25" s="678"/>
      <c r="M25" s="678"/>
      <c r="N25" s="678"/>
      <c r="O25" s="651"/>
      <c r="P25" s="684">
        <v>6.23</v>
      </c>
      <c r="Q25" s="685" t="s">
        <v>199</v>
      </c>
      <c r="R25" s="54"/>
      <c r="S25" s="54"/>
      <c r="T25" s="54"/>
      <c r="U25" s="54"/>
      <c r="V25" s="54"/>
      <c r="W25" s="54"/>
      <c r="X25" s="686"/>
      <c r="Y25" s="651"/>
      <c r="Z25" s="651"/>
      <c r="AA25" s="651"/>
      <c r="AB25" s="651"/>
      <c r="AC25" s="651"/>
      <c r="AD25" s="651"/>
      <c r="AE25" s="651"/>
      <c r="AF25" s="19"/>
    </row>
    <row r="26" spans="1:32" ht="15.75">
      <c r="A26" s="678"/>
      <c r="B26" s="678"/>
      <c r="C26" s="678"/>
      <c r="D26" s="678"/>
      <c r="E26" s="678"/>
      <c r="F26" s="678"/>
      <c r="G26" s="679"/>
      <c r="H26" s="678"/>
      <c r="I26" s="678"/>
      <c r="J26" s="678"/>
      <c r="K26" s="678"/>
      <c r="L26" s="678"/>
      <c r="M26" s="678"/>
      <c r="N26" s="678"/>
      <c r="O26" s="651"/>
      <c r="P26" s="684">
        <v>6.64</v>
      </c>
      <c r="Q26" s="685" t="s">
        <v>200</v>
      </c>
      <c r="R26" s="54"/>
      <c r="S26" s="54"/>
      <c r="T26" s="54"/>
      <c r="U26" s="54"/>
      <c r="V26" s="54"/>
      <c r="W26" s="54"/>
      <c r="X26" s="686"/>
      <c r="Y26" s="651"/>
      <c r="Z26" s="651"/>
      <c r="AA26" s="651"/>
      <c r="AB26" s="651"/>
      <c r="AC26" s="651"/>
      <c r="AD26" s="651"/>
      <c r="AE26" s="651"/>
      <c r="AF26" s="19"/>
    </row>
    <row r="27" spans="1:32" ht="15.75">
      <c r="A27" s="678"/>
      <c r="B27" s="678"/>
      <c r="C27" s="678"/>
      <c r="D27" s="678"/>
      <c r="E27" s="678"/>
      <c r="F27" s="678"/>
      <c r="G27" s="679"/>
      <c r="H27" s="678"/>
      <c r="I27" s="678"/>
      <c r="J27" s="678"/>
      <c r="K27" s="678"/>
      <c r="L27" s="678"/>
      <c r="M27" s="678"/>
      <c r="N27" s="678"/>
      <c r="O27" s="651"/>
      <c r="P27" s="684">
        <v>6.84</v>
      </c>
      <c r="Q27" s="685" t="s">
        <v>201</v>
      </c>
      <c r="R27" s="54"/>
      <c r="S27" s="54"/>
      <c r="T27" s="54"/>
      <c r="U27" s="54"/>
      <c r="V27" s="54"/>
      <c r="W27" s="54"/>
      <c r="X27" s="686"/>
      <c r="Y27" s="651"/>
      <c r="Z27" s="651"/>
      <c r="AA27" s="651"/>
      <c r="AB27" s="651"/>
      <c r="AC27" s="651"/>
      <c r="AD27" s="651"/>
      <c r="AE27" s="651"/>
      <c r="AF27" s="19"/>
    </row>
    <row r="28" spans="1:32" ht="15.75">
      <c r="A28" s="678"/>
      <c r="B28" s="678"/>
      <c r="C28" s="678"/>
      <c r="D28" s="678"/>
      <c r="E28" s="678"/>
      <c r="F28" s="678"/>
      <c r="G28" s="679"/>
      <c r="H28" s="678"/>
      <c r="I28" s="678"/>
      <c r="J28" s="678"/>
      <c r="K28" s="678"/>
      <c r="L28" s="678"/>
      <c r="M28" s="678"/>
      <c r="N28" s="678"/>
      <c r="O28" s="651"/>
      <c r="P28" s="684">
        <v>7.24</v>
      </c>
      <c r="Q28" s="685" t="s">
        <v>202</v>
      </c>
      <c r="R28" s="54"/>
      <c r="S28" s="54"/>
      <c r="T28" s="54"/>
      <c r="U28" s="54"/>
      <c r="V28" s="54"/>
      <c r="W28" s="54"/>
      <c r="X28" s="686"/>
      <c r="Y28" s="651"/>
      <c r="Z28" s="651"/>
      <c r="AA28" s="651"/>
      <c r="AB28" s="651"/>
      <c r="AC28" s="651"/>
      <c r="AD28" s="651"/>
      <c r="AE28" s="651"/>
      <c r="AF28" s="19"/>
    </row>
    <row r="29" spans="1:32" ht="15.75">
      <c r="A29" s="678"/>
      <c r="B29" s="678"/>
      <c r="C29" s="678"/>
      <c r="D29" s="678"/>
      <c r="E29" s="678"/>
      <c r="F29" s="678"/>
      <c r="G29" s="679"/>
      <c r="H29" s="678"/>
      <c r="I29" s="678"/>
      <c r="J29" s="678"/>
      <c r="K29" s="678"/>
      <c r="L29" s="678"/>
      <c r="M29" s="678"/>
      <c r="N29" s="678"/>
      <c r="O29" s="651"/>
      <c r="P29" s="687">
        <v>8</v>
      </c>
      <c r="Q29" s="688" t="s">
        <v>207</v>
      </c>
      <c r="R29" s="54"/>
      <c r="S29" s="54"/>
      <c r="T29" s="54"/>
      <c r="U29" s="54"/>
      <c r="V29" s="54"/>
      <c r="W29" s="54"/>
      <c r="X29" s="686"/>
      <c r="Y29" s="651"/>
      <c r="Z29" s="651"/>
      <c r="AA29" s="651"/>
      <c r="AB29" s="651"/>
      <c r="AC29" s="651"/>
      <c r="AD29" s="651"/>
      <c r="AE29" s="651"/>
      <c r="AF29" s="19"/>
    </row>
    <row r="30" spans="1:32" ht="15.75">
      <c r="A30" s="678"/>
      <c r="B30" s="678"/>
      <c r="C30" s="678"/>
      <c r="D30" s="678"/>
      <c r="E30" s="678"/>
      <c r="F30" s="678"/>
      <c r="G30" s="679"/>
      <c r="H30" s="678"/>
      <c r="I30" s="678"/>
      <c r="J30" s="678"/>
      <c r="K30" s="678"/>
      <c r="L30" s="678"/>
      <c r="M30" s="678"/>
      <c r="N30" s="678"/>
      <c r="O30" s="651"/>
      <c r="P30" s="687">
        <v>9</v>
      </c>
      <c r="Q30" s="688" t="s">
        <v>207</v>
      </c>
      <c r="R30" s="54"/>
      <c r="S30" s="54"/>
      <c r="T30" s="54"/>
      <c r="U30" s="54"/>
      <c r="V30" s="54"/>
      <c r="W30" s="54"/>
      <c r="X30" s="686"/>
      <c r="Y30" s="651"/>
      <c r="Z30" s="651"/>
      <c r="AA30" s="651"/>
      <c r="AB30" s="651"/>
      <c r="AC30" s="651"/>
      <c r="AD30" s="651"/>
      <c r="AE30" s="651"/>
      <c r="AF30" s="19"/>
    </row>
    <row r="31" spans="1:32" ht="15.75">
      <c r="A31" s="678"/>
      <c r="B31" s="678"/>
      <c r="C31" s="678"/>
      <c r="D31" s="678"/>
      <c r="E31" s="678"/>
      <c r="F31" s="678"/>
      <c r="G31" s="679"/>
      <c r="H31" s="678"/>
      <c r="I31" s="678"/>
      <c r="J31" s="678"/>
      <c r="K31" s="678"/>
      <c r="L31" s="678"/>
      <c r="M31" s="678"/>
      <c r="N31" s="678"/>
      <c r="O31" s="651"/>
      <c r="P31" s="687">
        <v>0</v>
      </c>
      <c r="Q31" s="688" t="s">
        <v>207</v>
      </c>
      <c r="R31" s="54"/>
      <c r="S31" s="54"/>
      <c r="T31" s="54"/>
      <c r="U31" s="54"/>
      <c r="V31" s="54"/>
      <c r="W31" s="54"/>
      <c r="X31" s="686"/>
      <c r="Y31" s="651"/>
      <c r="Z31" s="651"/>
      <c r="AA31" s="651"/>
      <c r="AB31" s="651"/>
      <c r="AC31" s="651"/>
      <c r="AD31" s="651"/>
      <c r="AE31" s="651"/>
      <c r="AF31" s="19"/>
    </row>
    <row r="32" spans="1:32" ht="15.75" thickBot="1">
      <c r="A32" s="678"/>
      <c r="B32" s="678"/>
      <c r="C32" s="678"/>
      <c r="D32" s="678"/>
      <c r="E32" s="678"/>
      <c r="F32" s="678"/>
      <c r="G32" s="679"/>
      <c r="H32" s="678"/>
      <c r="I32" s="678"/>
      <c r="J32" s="678"/>
      <c r="K32" s="678"/>
      <c r="L32" s="678"/>
      <c r="M32" s="678"/>
      <c r="N32" s="678"/>
      <c r="O32" s="651"/>
      <c r="P32" s="689"/>
      <c r="Q32" s="690"/>
      <c r="R32" s="691"/>
      <c r="S32" s="691"/>
      <c r="T32" s="691"/>
      <c r="U32" s="691"/>
      <c r="V32" s="691"/>
      <c r="W32" s="691"/>
      <c r="X32" s="692"/>
      <c r="Y32" s="651"/>
      <c r="Z32" s="651"/>
      <c r="AA32" s="651"/>
      <c r="AB32" s="651"/>
      <c r="AC32" s="651"/>
      <c r="AD32" s="651"/>
      <c r="AE32" s="651"/>
      <c r="AF32" s="19"/>
    </row>
    <row r="33" spans="1:32" ht="15.75" thickTop="1">
      <c r="A33" s="678"/>
      <c r="B33" s="678"/>
      <c r="C33" s="693"/>
      <c r="D33" s="682"/>
      <c r="E33" s="682"/>
      <c r="F33" s="682"/>
      <c r="G33" s="694"/>
      <c r="H33" s="682"/>
      <c r="I33" s="682"/>
      <c r="J33" s="682"/>
      <c r="K33" s="682"/>
      <c r="L33" s="682"/>
      <c r="M33" s="682"/>
      <c r="N33" s="683"/>
      <c r="O33" s="651"/>
      <c r="P33" s="651"/>
      <c r="Q33" s="651"/>
      <c r="R33" s="651"/>
      <c r="S33" s="651"/>
      <c r="T33" s="651"/>
      <c r="U33" s="651"/>
      <c r="V33" s="651"/>
      <c r="W33" s="651"/>
      <c r="X33" s="651"/>
      <c r="Y33" s="651"/>
      <c r="Z33" s="651"/>
      <c r="AA33" s="651"/>
      <c r="AB33" s="651"/>
      <c r="AC33" s="651"/>
      <c r="AD33" s="651"/>
      <c r="AE33" s="651"/>
      <c r="AF33" s="19"/>
    </row>
    <row r="34" spans="1:32" ht="15">
      <c r="A34" s="678"/>
      <c r="B34" s="678"/>
      <c r="C34" s="485">
        <f aca="true" t="shared" si="0" ref="C34:C44">P21</f>
        <v>5.22</v>
      </c>
      <c r="D34" s="54"/>
      <c r="E34" s="54"/>
      <c r="F34" s="58" t="str">
        <f aca="true" t="shared" si="1" ref="F34:F44">Q21</f>
        <v>  X  hours per week  (Less than 5 years service, up to SCP 21)</v>
      </c>
      <c r="G34" s="58"/>
      <c r="H34" s="54"/>
      <c r="I34" s="54"/>
      <c r="J34" s="54"/>
      <c r="K34" s="54"/>
      <c r="L34" s="54"/>
      <c r="M34" s="54"/>
      <c r="N34" s="686"/>
      <c r="O34" s="651"/>
      <c r="P34" s="651"/>
      <c r="Q34" s="651"/>
      <c r="R34" s="651"/>
      <c r="S34" s="651"/>
      <c r="T34" s="651"/>
      <c r="U34" s="651"/>
      <c r="V34" s="651"/>
      <c r="W34" s="651"/>
      <c r="X34" s="651"/>
      <c r="Y34" s="651"/>
      <c r="Z34" s="651"/>
      <c r="AA34" s="651"/>
      <c r="AB34" s="651"/>
      <c r="AC34" s="651"/>
      <c r="AD34" s="651"/>
      <c r="AE34" s="651"/>
      <c r="AF34" s="19"/>
    </row>
    <row r="35" spans="1:32" ht="15">
      <c r="A35" s="678"/>
      <c r="B35" s="678"/>
      <c r="C35" s="485">
        <f t="shared" si="0"/>
        <v>5.61</v>
      </c>
      <c r="D35" s="54"/>
      <c r="E35" s="54"/>
      <c r="F35" s="58" t="str">
        <f t="shared" si="1"/>
        <v>  X  hours per week  (Less than 5 years service, SCP 22 to 28)</v>
      </c>
      <c r="G35" s="58"/>
      <c r="H35" s="54"/>
      <c r="I35" s="54"/>
      <c r="J35" s="54"/>
      <c r="K35" s="54"/>
      <c r="L35" s="54"/>
      <c r="M35" s="54"/>
      <c r="N35" s="686"/>
      <c r="O35" s="651"/>
      <c r="P35" s="651"/>
      <c r="Q35" s="651"/>
      <c r="R35" s="651"/>
      <c r="S35" s="651"/>
      <c r="T35" s="651"/>
      <c r="U35" s="651"/>
      <c r="V35" s="651"/>
      <c r="W35" s="651"/>
      <c r="X35" s="651"/>
      <c r="Y35" s="651"/>
      <c r="Z35" s="651"/>
      <c r="AA35" s="651"/>
      <c r="AB35" s="651"/>
      <c r="AC35" s="651"/>
      <c r="AD35" s="651"/>
      <c r="AE35" s="651"/>
      <c r="AF35" s="19"/>
    </row>
    <row r="36" spans="1:32" ht="15">
      <c r="A36" s="678"/>
      <c r="B36" s="678"/>
      <c r="C36" s="485">
        <f t="shared" si="0"/>
        <v>6.02</v>
      </c>
      <c r="D36" s="54"/>
      <c r="E36" s="54"/>
      <c r="F36" s="58" t="str">
        <f t="shared" si="1"/>
        <v>  X  hours per week  (Less than 5 years service, SCP 29 to 41)</v>
      </c>
      <c r="G36" s="58"/>
      <c r="H36" s="54"/>
      <c r="I36" s="54"/>
      <c r="J36" s="54"/>
      <c r="K36" s="54"/>
      <c r="L36" s="54"/>
      <c r="M36" s="54"/>
      <c r="N36" s="686"/>
      <c r="O36" s="651"/>
      <c r="P36" s="651"/>
      <c r="Q36" s="651"/>
      <c r="R36" s="651"/>
      <c r="S36" s="651"/>
      <c r="T36" s="651"/>
      <c r="U36" s="651"/>
      <c r="V36" s="651"/>
      <c r="W36" s="651"/>
      <c r="X36" s="651"/>
      <c r="Y36" s="651"/>
      <c r="Z36" s="651"/>
      <c r="AA36" s="651"/>
      <c r="AB36" s="651"/>
      <c r="AC36" s="651"/>
      <c r="AD36" s="651"/>
      <c r="AE36" s="651"/>
      <c r="AF36" s="19"/>
    </row>
    <row r="37" spans="1:32" ht="15">
      <c r="A37" s="678"/>
      <c r="B37" s="678"/>
      <c r="C37" s="485">
        <f t="shared" si="0"/>
        <v>6.23</v>
      </c>
      <c r="D37" s="54"/>
      <c r="E37" s="54"/>
      <c r="F37" s="58" t="str">
        <f t="shared" si="1"/>
        <v>  X  hours per week  (Less than 5 years service, SCP 42 to 58)</v>
      </c>
      <c r="G37" s="58"/>
      <c r="H37" s="54"/>
      <c r="I37" s="54"/>
      <c r="J37" s="54"/>
      <c r="K37" s="54"/>
      <c r="L37" s="54"/>
      <c r="M37" s="54"/>
      <c r="N37" s="686"/>
      <c r="O37" s="651"/>
      <c r="P37" s="651"/>
      <c r="Q37" s="651"/>
      <c r="R37" s="651"/>
      <c r="S37" s="651"/>
      <c r="T37" s="651"/>
      <c r="U37" s="651"/>
      <c r="V37" s="651"/>
      <c r="W37" s="651"/>
      <c r="X37" s="651"/>
      <c r="Y37" s="651"/>
      <c r="Z37" s="651"/>
      <c r="AA37" s="651"/>
      <c r="AB37" s="651"/>
      <c r="AC37" s="651"/>
      <c r="AD37" s="651"/>
      <c r="AE37" s="651"/>
      <c r="AF37" s="19"/>
    </row>
    <row r="38" spans="1:32" ht="15">
      <c r="A38" s="678"/>
      <c r="B38" s="678"/>
      <c r="C38" s="485">
        <f t="shared" si="0"/>
        <v>6.23</v>
      </c>
      <c r="D38" s="54"/>
      <c r="E38" s="54"/>
      <c r="F38" s="58" t="str">
        <f t="shared" si="1"/>
        <v>  X  hours per week  (5 - 10 years service, up to SCP 41)</v>
      </c>
      <c r="G38" s="58"/>
      <c r="H38" s="54"/>
      <c r="I38" s="54"/>
      <c r="J38" s="54"/>
      <c r="K38" s="54"/>
      <c r="L38" s="54"/>
      <c r="M38" s="54"/>
      <c r="N38" s="686"/>
      <c r="O38" s="651"/>
      <c r="P38" s="651"/>
      <c r="Q38" s="651"/>
      <c r="R38" s="651"/>
      <c r="S38" s="651"/>
      <c r="T38" s="651"/>
      <c r="U38" s="651"/>
      <c r="V38" s="651"/>
      <c r="W38" s="651"/>
      <c r="X38" s="651"/>
      <c r="Y38" s="651"/>
      <c r="Z38" s="651"/>
      <c r="AA38" s="651"/>
      <c r="AB38" s="651"/>
      <c r="AC38" s="651"/>
      <c r="AD38" s="651"/>
      <c r="AE38" s="651"/>
      <c r="AF38" s="19"/>
    </row>
    <row r="39" spans="1:32" ht="15">
      <c r="A39" s="678"/>
      <c r="B39" s="678"/>
      <c r="C39" s="485">
        <f t="shared" si="0"/>
        <v>6.64</v>
      </c>
      <c r="D39" s="54"/>
      <c r="E39" s="54"/>
      <c r="F39" s="58" t="str">
        <f t="shared" si="1"/>
        <v>  X  hours per week  (5 - 10 years service, SCP 42 to 58)</v>
      </c>
      <c r="G39" s="58"/>
      <c r="H39" s="54"/>
      <c r="I39" s="54"/>
      <c r="J39" s="54"/>
      <c r="K39" s="54"/>
      <c r="L39" s="54"/>
      <c r="M39" s="54"/>
      <c r="N39" s="686"/>
      <c r="O39" s="651"/>
      <c r="P39" s="651"/>
      <c r="Q39" s="651"/>
      <c r="R39" s="651"/>
      <c r="S39" s="651"/>
      <c r="T39" s="651"/>
      <c r="U39" s="651"/>
      <c r="V39" s="651"/>
      <c r="W39" s="651"/>
      <c r="X39" s="651"/>
      <c r="Y39" s="651"/>
      <c r="Z39" s="651"/>
      <c r="AA39" s="651"/>
      <c r="AB39" s="651"/>
      <c r="AC39" s="651"/>
      <c r="AD39" s="651"/>
      <c r="AE39" s="651"/>
      <c r="AF39" s="19"/>
    </row>
    <row r="40" spans="1:32" ht="15">
      <c r="A40" s="678"/>
      <c r="B40" s="678"/>
      <c r="C40" s="485">
        <f t="shared" si="0"/>
        <v>6.84</v>
      </c>
      <c r="D40" s="54"/>
      <c r="E40" s="54"/>
      <c r="F40" s="58" t="str">
        <f t="shared" si="1"/>
        <v>  X  hours per week  (Over 10 years service, up to SCP 41)</v>
      </c>
      <c r="G40" s="58"/>
      <c r="H40" s="54"/>
      <c r="I40" s="54"/>
      <c r="J40" s="54"/>
      <c r="K40" s="54"/>
      <c r="L40" s="54"/>
      <c r="M40" s="54"/>
      <c r="N40" s="686"/>
      <c r="O40" s="651"/>
      <c r="P40" s="651"/>
      <c r="Q40" s="651"/>
      <c r="R40" s="651"/>
      <c r="S40" s="651"/>
      <c r="T40" s="651"/>
      <c r="U40" s="651"/>
      <c r="V40" s="651"/>
      <c r="W40" s="651"/>
      <c r="X40" s="651"/>
      <c r="Y40" s="651"/>
      <c r="Z40" s="651"/>
      <c r="AA40" s="651"/>
      <c r="AB40" s="651"/>
      <c r="AC40" s="651"/>
      <c r="AD40" s="651"/>
      <c r="AE40" s="651"/>
      <c r="AF40" s="19"/>
    </row>
    <row r="41" spans="1:32" ht="15">
      <c r="A41" s="678"/>
      <c r="B41" s="678"/>
      <c r="C41" s="485">
        <f t="shared" si="0"/>
        <v>7.24</v>
      </c>
      <c r="D41" s="54"/>
      <c r="E41" s="54"/>
      <c r="F41" s="58" t="str">
        <f t="shared" si="1"/>
        <v>  X  hours per week  (Over 10 years service, SCP 42 to 58)</v>
      </c>
      <c r="G41" s="58"/>
      <c r="H41" s="54"/>
      <c r="I41" s="54"/>
      <c r="J41" s="54"/>
      <c r="K41" s="54"/>
      <c r="L41" s="54"/>
      <c r="M41" s="54"/>
      <c r="N41" s="686"/>
      <c r="O41" s="651"/>
      <c r="P41" s="651"/>
      <c r="Q41" s="651"/>
      <c r="R41" s="651"/>
      <c r="S41" s="651"/>
      <c r="T41" s="651"/>
      <c r="U41" s="651"/>
      <c r="V41" s="651"/>
      <c r="W41" s="651"/>
      <c r="X41" s="651"/>
      <c r="Y41" s="651"/>
      <c r="Z41" s="651"/>
      <c r="AA41" s="651"/>
      <c r="AB41" s="651"/>
      <c r="AC41" s="651"/>
      <c r="AD41" s="651"/>
      <c r="AE41" s="651"/>
      <c r="AF41" s="19"/>
    </row>
    <row r="42" spans="1:32" ht="15">
      <c r="A42" s="678"/>
      <c r="B42" s="678"/>
      <c r="C42" s="485">
        <f t="shared" si="0"/>
        <v>8</v>
      </c>
      <c r="D42" s="54"/>
      <c r="E42" s="54"/>
      <c r="F42" s="58" t="str">
        <f t="shared" si="1"/>
        <v>  Other amount</v>
      </c>
      <c r="G42" s="58"/>
      <c r="H42" s="54"/>
      <c r="I42" s="54"/>
      <c r="J42" s="54"/>
      <c r="K42" s="54"/>
      <c r="L42" s="54"/>
      <c r="M42" s="54"/>
      <c r="N42" s="686"/>
      <c r="O42" s="651"/>
      <c r="P42" s="651"/>
      <c r="Q42" s="651"/>
      <c r="R42" s="651"/>
      <c r="S42" s="651"/>
      <c r="T42" s="651"/>
      <c r="U42" s="651"/>
      <c r="V42" s="651"/>
      <c r="W42" s="651"/>
      <c r="X42" s="651"/>
      <c r="Y42" s="651"/>
      <c r="Z42" s="651"/>
      <c r="AA42" s="651"/>
      <c r="AB42" s="651"/>
      <c r="AC42" s="651"/>
      <c r="AD42" s="651"/>
      <c r="AE42" s="651"/>
      <c r="AF42" s="19"/>
    </row>
    <row r="43" spans="1:32" ht="15">
      <c r="A43" s="678"/>
      <c r="B43" s="678"/>
      <c r="C43" s="485">
        <f t="shared" si="0"/>
        <v>9</v>
      </c>
      <c r="D43" s="54"/>
      <c r="E43" s="54"/>
      <c r="F43" s="58" t="str">
        <f t="shared" si="1"/>
        <v>  Other amount</v>
      </c>
      <c r="G43" s="58"/>
      <c r="H43" s="54"/>
      <c r="I43" s="54"/>
      <c r="J43" s="54"/>
      <c r="K43" s="54"/>
      <c r="L43" s="54"/>
      <c r="M43" s="54"/>
      <c r="N43" s="686"/>
      <c r="O43" s="651"/>
      <c r="P43" s="651"/>
      <c r="Q43" s="651"/>
      <c r="R43" s="651"/>
      <c r="S43" s="651"/>
      <c r="T43" s="651"/>
      <c r="U43" s="651"/>
      <c r="V43" s="651"/>
      <c r="W43" s="651"/>
      <c r="X43" s="651"/>
      <c r="Y43" s="651"/>
      <c r="Z43" s="651"/>
      <c r="AA43" s="651"/>
      <c r="AB43" s="651"/>
      <c r="AC43" s="651"/>
      <c r="AD43" s="651"/>
      <c r="AE43" s="651"/>
      <c r="AF43" s="19"/>
    </row>
    <row r="44" spans="1:32" ht="15">
      <c r="A44" s="678"/>
      <c r="B44" s="678"/>
      <c r="C44" s="485">
        <f t="shared" si="0"/>
        <v>0</v>
      </c>
      <c r="D44" s="54"/>
      <c r="E44" s="54"/>
      <c r="F44" s="58" t="str">
        <f t="shared" si="1"/>
        <v>  Other amount</v>
      </c>
      <c r="G44" s="58"/>
      <c r="H44" s="54"/>
      <c r="I44" s="54"/>
      <c r="J44" s="54"/>
      <c r="K44" s="54"/>
      <c r="L44" s="54"/>
      <c r="M44" s="54"/>
      <c r="N44" s="686"/>
      <c r="O44" s="651"/>
      <c r="P44" s="651"/>
      <c r="Q44" s="651"/>
      <c r="R44" s="651"/>
      <c r="S44" s="651"/>
      <c r="T44" s="651"/>
      <c r="U44" s="651"/>
      <c r="V44" s="651"/>
      <c r="W44" s="651"/>
      <c r="X44" s="651"/>
      <c r="Y44" s="651"/>
      <c r="Z44" s="651"/>
      <c r="AA44" s="651"/>
      <c r="AB44" s="651"/>
      <c r="AC44" s="651"/>
      <c r="AD44" s="651"/>
      <c r="AE44" s="651"/>
      <c r="AF44" s="19"/>
    </row>
    <row r="45" spans="1:32" ht="15.75" thickBot="1">
      <c r="A45" s="678"/>
      <c r="B45" s="678"/>
      <c r="C45" s="695"/>
      <c r="D45" s="691"/>
      <c r="E45" s="691"/>
      <c r="F45" s="691"/>
      <c r="G45" s="696"/>
      <c r="H45" s="691"/>
      <c r="I45" s="691"/>
      <c r="J45" s="691"/>
      <c r="K45" s="691"/>
      <c r="L45" s="691"/>
      <c r="M45" s="691"/>
      <c r="N45" s="692"/>
      <c r="O45" s="651"/>
      <c r="P45" s="651"/>
      <c r="Q45" s="651"/>
      <c r="R45" s="651"/>
      <c r="S45" s="651"/>
      <c r="T45" s="651"/>
      <c r="U45" s="651"/>
      <c r="V45" s="651"/>
      <c r="W45" s="651"/>
      <c r="X45" s="651"/>
      <c r="Y45" s="651"/>
      <c r="Z45" s="651"/>
      <c r="AA45" s="651"/>
      <c r="AB45" s="651"/>
      <c r="AC45" s="651"/>
      <c r="AD45" s="651"/>
      <c r="AE45" s="651"/>
      <c r="AF45" s="19"/>
    </row>
    <row r="46" spans="1:32" ht="15.75" thickTop="1">
      <c r="A46" s="678"/>
      <c r="B46" s="678"/>
      <c r="C46" s="678"/>
      <c r="D46" s="678"/>
      <c r="E46" s="678"/>
      <c r="F46" s="678"/>
      <c r="G46" s="679"/>
      <c r="H46" s="678"/>
      <c r="I46" s="678"/>
      <c r="J46" s="678"/>
      <c r="K46" s="678"/>
      <c r="L46" s="678"/>
      <c r="M46" s="678"/>
      <c r="N46" s="678"/>
      <c r="O46" s="651"/>
      <c r="P46" s="651"/>
      <c r="Q46" s="651"/>
      <c r="R46" s="651"/>
      <c r="S46" s="651"/>
      <c r="T46" s="651"/>
      <c r="U46" s="651"/>
      <c r="V46" s="651"/>
      <c r="W46" s="651"/>
      <c r="X46" s="651"/>
      <c r="Y46" s="651"/>
      <c r="Z46" s="651"/>
      <c r="AA46" s="651"/>
      <c r="AB46" s="651"/>
      <c r="AC46" s="651"/>
      <c r="AD46" s="651"/>
      <c r="AE46" s="651"/>
      <c r="AF46" s="19"/>
    </row>
    <row r="47" spans="1:32" ht="15">
      <c r="A47" s="678"/>
      <c r="B47" s="678"/>
      <c r="C47" s="678"/>
      <c r="D47" s="678"/>
      <c r="E47" s="678"/>
      <c r="F47" s="678"/>
      <c r="G47" s="679"/>
      <c r="H47" s="678"/>
      <c r="I47" s="678"/>
      <c r="J47" s="678"/>
      <c r="K47" s="678"/>
      <c r="L47" s="678"/>
      <c r="M47" s="678"/>
      <c r="N47" s="678"/>
      <c r="O47" s="651"/>
      <c r="P47" s="651"/>
      <c r="Q47" s="651"/>
      <c r="R47" s="651"/>
      <c r="S47" s="651"/>
      <c r="T47" s="651"/>
      <c r="U47" s="651"/>
      <c r="V47" s="651"/>
      <c r="W47" s="651"/>
      <c r="X47" s="651"/>
      <c r="Y47" s="651"/>
      <c r="Z47" s="651"/>
      <c r="AA47" s="651"/>
      <c r="AB47" s="651"/>
      <c r="AC47" s="651"/>
      <c r="AD47" s="651"/>
      <c r="AE47" s="651"/>
      <c r="AF47" s="19"/>
    </row>
    <row r="48" spans="1:32" ht="15">
      <c r="A48" s="651"/>
      <c r="B48" s="651"/>
      <c r="C48" s="651"/>
      <c r="D48" s="651"/>
      <c r="E48" s="651"/>
      <c r="F48" s="651"/>
      <c r="G48" s="697"/>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19"/>
    </row>
    <row r="49" spans="1:32" ht="15">
      <c r="A49" s="651"/>
      <c r="B49" s="651"/>
      <c r="C49" s="651"/>
      <c r="D49" s="651"/>
      <c r="E49" s="651"/>
      <c r="F49" s="651"/>
      <c r="G49" s="697"/>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19"/>
    </row>
    <row r="50" spans="1:32" ht="15">
      <c r="A50" s="19"/>
      <c r="B50" s="19"/>
      <c r="C50" s="19"/>
      <c r="D50" s="19"/>
      <c r="E50" s="19"/>
      <c r="F50" s="19"/>
      <c r="G50" s="21"/>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row>
    <row r="51" spans="1:32" ht="15">
      <c r="A51" s="19"/>
      <c r="B51" s="19"/>
      <c r="C51" s="19"/>
      <c r="D51" s="19"/>
      <c r="E51" s="19"/>
      <c r="F51" s="19"/>
      <c r="G51" s="21"/>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row>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sheetData>
  <sheetProtection password="DD49" sheet="1" objects="1" scenarios="1"/>
  <mergeCells count="1">
    <mergeCell ref="N1:R1"/>
  </mergeCells>
  <conditionalFormatting sqref="C6">
    <cfRule type="cellIs" priority="1" dxfId="1" operator="equal" stopIfTrue="1">
      <formula>0</formula>
    </cfRule>
  </conditionalFormatting>
  <dataValidations count="14">
    <dataValidation errorStyle="warning" type="custom" allowBlank="1" showInputMessage="1" showErrorMessage="1" errorTitle="WARNING!" error="&#10;This cell contains an essential formula!  Overwriting or deleting this formula may adversely affect the whole document.&#10;&#10;Only continue if this is your intention.&#10;&#10;CLICK 'Cancel' IF YOU DO NOT WISH TO PROCEED." sqref="E13:E17 N13:U18">
      <formula1>"NO CHANGE ADVISED"</formula1>
    </dataValidation>
    <dataValidation type="whole" allowBlank="1" showInputMessage="1" showErrorMessage="1" promptTitle="SPINAL POINT ENTRY FIELD" prompt="&#10;Enter an appropriate spinal point from the Local Authority scales in this cell.  The salary value will be read from the Salary Scales worksheet according to the number entered here." sqref="F13:F17">
      <formula1>0</formula1>
      <formula2>52</formula2>
    </dataValidation>
    <dataValidation type="decimal" operator="lessThanOrEqual" allowBlank="1" showInputMessage="1" showErrorMessage="1" promptTitle="WEEKS WORKED ENTRY FIELD" prompt="&#10;Enter the number of weeks worked per annum up to a maximum of 52." sqref="H13:H17">
      <formula1>52</formula1>
    </dataValidation>
    <dataValidation type="decimal" operator="greaterThanOrEqual" allowBlank="1" showInputMessage="1" showErrorMessage="1" promptTitle="MISC. PAYMENTS ENTRY FIELD" prompt="&#10;Enter the ACTUAL annual value of any miscellaneous payments here." sqref="L13:L17">
      <formula1>0</formula1>
    </dataValidation>
    <dataValidation type="decimal" operator="lessThanOrEqual" allowBlank="1" showInputMessage="1" showErrorMessage="1" promptTitle="ON-COST % ENTRY FIELD" prompt="&#10;Enter the % on-cost here.  This field is to ensure employers contributions towards N.I. and pension funds are considered in your staff costings.&#10;" sqref="M13:M17">
      <formula1>50</formula1>
    </dataValidation>
    <dataValidation type="custom" allowBlank="1" showInputMessage="1" showErrorMessage="1" errorTitle="FIXED SYMBOL" sqref="C2:C3">
      <formula1>"NO CHANGE REQUIRED"</formula1>
    </dataValidation>
    <dataValidation errorStyle="warning" type="decimal" operator="lessThanOrEqual" allowBlank="1" showInputMessage="1" showErrorMessage="1" promptTitle="HOURS WORKED ENTRY FIELD" prompt="&#10;Enter the number of BASIC hours worked per week." errorTitle="HOURS BETWEEN 0 &amp; 36" error="&#10;36 hours per week is the maximum for this category of staff.&#10;&#10;PLEASE CLICK 'Cancel' AND RE-ENTER THE NUMBER OF HOURS WORKED PER WEEK. " sqref="G13:G17">
      <formula1>36</formula1>
    </dataValidation>
    <dataValidation type="custom" allowBlank="1" showInputMessage="1" showErrorMessage="1" sqref="I8:I11 K13:K14 K16:K17 X13:X17 R4:U11 Q7:Q11 Q4:Q5 L4:L9 J10:J11 J4:J8 I4:I6 M4:P11 Y11:Z12 K4:K6 K8:K11 D4:H11 C4:C5 C7:C11">
      <formula1>"NO CHANGE ADVISED"</formula1>
    </dataValidation>
    <dataValidation type="custom" allowBlank="1" showInputMessage="1" showErrorMessage="1" sqref="D13:D17">
      <formula1>"NO CHANGE REQUIRED"</formula1>
    </dataValidation>
    <dataValidation type="whole" allowBlank="1" showInputMessage="1" showErrorMessage="1" promptTitle="SEN ALLOWANCE PAYABLE?" prompt="&#10;If you wish to include the SEN allowance with your staff costing, simply enter '1' into this cell.  The appropriate amount based on the F.T.E. worked will be calculated for you.  " sqref="K15">
      <formula1>0</formula1>
      <formula2>1</formula2>
    </dataValidation>
    <dataValidation type="custom" allowBlank="1" showInputMessage="1" showErrorMessage="1" errorTitle="COPYRIGHT PROTECTION!" error="&#10;Tampering with this cell puts you in breach of copyright laws.&#10;&#10;Click 'Cancel' to end." sqref="Q6">
      <formula1>"COPYRIGHT PROTECTION!"</formula1>
    </dataValidation>
    <dataValidation type="list" operator="lessThanOrEqual" allowBlank="1" showInputMessage="1" showErrorMessage="1" promptTitle="SELECT HOLIDAY WEEKS PAYABLE" prompt="&#10;See the notes below for information relating to appropriate number of holiday weeks payable, then choose from the 'pull-down' list." sqref="J13:J17">
      <formula1>$P$21:$P$31</formula1>
    </dataValidation>
    <dataValidation type="custom" allowBlank="1" showInputMessage="1" showErrorMessage="1" sqref="C34:F44">
      <formula1>"NO CHANGE"</formula1>
    </dataValidation>
    <dataValidation allowBlank="1" showInputMessage="1" showErrorMessage="1" promptTitle="USER INPUT" prompt="&#10;You can change the data here to suit your own conditions of service by simply overtyping." sqref="P21:Q31"/>
  </dataValidations>
  <hyperlinks>
    <hyperlink ref="N1:R1" location="'APTC Statement'!A1" tooltip="Go to APTC staff salary statement sheet" display="TO APTC STATEMENT"/>
    <hyperlink ref="J1" location="INDEX!A1" tooltip="Go to Index" display="INDEX"/>
  </hyperlinks>
  <printOptions horizontalCentered="1"/>
  <pageMargins left="0.03937007874015748" right="0.03937007874015748" top="0.35433070866141736" bottom="0.35433070866141736" header="0.5118110236220472" footer="0.5118110236220472"/>
  <pageSetup blackAndWhite="1" fitToHeight="1" fitToWidth="1" horizontalDpi="600" verticalDpi="600" orientation="landscape" scale="7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R51"/>
  <sheetViews>
    <sheetView showGridLines="0" showRowColHeaders="0" zoomScale="75" zoomScaleNormal="75" workbookViewId="0" topLeftCell="A1">
      <pane ySplit="1" topLeftCell="BM2" activePane="bottomLeft" state="frozen"/>
      <selection pane="topLeft" activeCell="K12" sqref="K12:L12"/>
      <selection pane="bottomLeft" activeCell="E17" sqref="E17"/>
    </sheetView>
  </sheetViews>
  <sheetFormatPr defaultColWidth="24.10546875" defaultRowHeight="15" zeroHeight="1"/>
  <cols>
    <col min="1" max="1" width="5.77734375" style="4" customWidth="1"/>
    <col min="2" max="2" width="1.77734375" style="4" customWidth="1"/>
    <col min="3" max="3" width="0.78125" style="4" customWidth="1"/>
    <col min="4" max="4" width="13.77734375" style="4" customWidth="1"/>
    <col min="5" max="5" width="8.77734375" style="4" customWidth="1"/>
    <col min="6" max="8" width="15.99609375" style="4" customWidth="1"/>
    <col min="9" max="9" width="12.77734375" style="4" customWidth="1"/>
    <col min="10" max="10" width="29.4453125" style="4" customWidth="1"/>
    <col min="11" max="11" width="0.671875" style="4" customWidth="1"/>
    <col min="12" max="12" width="1.77734375" style="4" customWidth="1"/>
    <col min="13" max="18" width="11.4453125" style="4" customWidth="1"/>
    <col min="19" max="20" width="0" style="4" hidden="1" customWidth="1"/>
    <col min="21" max="16384" width="11.4453125" style="4" hidden="1" customWidth="1"/>
  </cols>
  <sheetData>
    <row r="1" spans="1:18" ht="30" customHeight="1">
      <c r="A1" s="86"/>
      <c r="B1" s="86"/>
      <c r="C1" s="86"/>
      <c r="D1" s="621"/>
      <c r="E1" s="86"/>
      <c r="F1" s="86"/>
      <c r="G1" s="583" t="s">
        <v>244</v>
      </c>
      <c r="H1" s="86"/>
      <c r="I1" s="572"/>
      <c r="J1" s="86"/>
      <c r="K1" s="86"/>
      <c r="L1" s="86"/>
      <c r="M1" s="86"/>
      <c r="N1" s="86"/>
      <c r="O1" s="86"/>
      <c r="P1" s="86"/>
      <c r="Q1" s="86"/>
      <c r="R1" s="86"/>
    </row>
    <row r="2" spans="1:18" ht="18.75" customHeight="1">
      <c r="A2" s="86"/>
      <c r="B2" s="86"/>
      <c r="C2" s="86"/>
      <c r="D2" s="20"/>
      <c r="E2" s="20"/>
      <c r="F2" s="86"/>
      <c r="G2" s="86"/>
      <c r="H2" s="87"/>
      <c r="I2" s="87"/>
      <c r="J2" s="86"/>
      <c r="K2" s="86"/>
      <c r="L2" s="86"/>
      <c r="M2" s="86"/>
      <c r="N2" s="86"/>
      <c r="O2" s="86"/>
      <c r="P2" s="86"/>
      <c r="Q2" s="86"/>
      <c r="R2" s="86"/>
    </row>
    <row r="3" spans="1:18" ht="5.25" customHeight="1" thickBot="1">
      <c r="A3" s="86"/>
      <c r="B3" s="86"/>
      <c r="C3" s="78"/>
      <c r="D3" s="18"/>
      <c r="E3" s="18"/>
      <c r="F3" s="78"/>
      <c r="G3" s="78"/>
      <c r="H3" s="85"/>
      <c r="I3" s="85"/>
      <c r="J3" s="78"/>
      <c r="K3" s="78"/>
      <c r="L3" s="86"/>
      <c r="M3" s="86"/>
      <c r="N3" s="86"/>
      <c r="O3" s="86"/>
      <c r="P3" s="86"/>
      <c r="Q3" s="86"/>
      <c r="R3" s="86"/>
    </row>
    <row r="4" spans="1:18" ht="12.75" customHeight="1">
      <c r="A4" s="86"/>
      <c r="B4" s="86"/>
      <c r="C4" s="78"/>
      <c r="D4" s="163"/>
      <c r="E4" s="164"/>
      <c r="F4" s="164"/>
      <c r="G4" s="372" t="s">
        <v>0</v>
      </c>
      <c r="H4" s="203" t="str">
        <f ca="1">CELL("filename",A2:A2)</f>
        <v>F:\exceledSiteWebD\systems\[salarycalc.xls]Overtime Rates</v>
      </c>
      <c r="I4" s="203"/>
      <c r="J4" s="367"/>
      <c r="K4" s="78"/>
      <c r="L4" s="86"/>
      <c r="M4" s="86"/>
      <c r="N4" s="86"/>
      <c r="O4" s="86"/>
      <c r="P4" s="86"/>
      <c r="Q4" s="86"/>
      <c r="R4" s="86"/>
    </row>
    <row r="5" spans="1:18" ht="21.75" customHeight="1">
      <c r="A5" s="86"/>
      <c r="B5" s="86"/>
      <c r="C5" s="78"/>
      <c r="D5" s="418" t="s">
        <v>1</v>
      </c>
      <c r="E5" s="140" t="s">
        <v>120</v>
      </c>
      <c r="F5" s="140"/>
      <c r="G5" s="166"/>
      <c r="H5" s="166"/>
      <c r="I5" s="166"/>
      <c r="J5" s="206"/>
      <c r="K5" s="82"/>
      <c r="L5" s="86"/>
      <c r="M5" s="86"/>
      <c r="N5" s="86"/>
      <c r="O5" s="86"/>
      <c r="P5" s="86"/>
      <c r="Q5" s="86"/>
      <c r="R5" s="86"/>
    </row>
    <row r="6" spans="1:18" ht="12.75" customHeight="1">
      <c r="A6" s="86"/>
      <c r="B6" s="86"/>
      <c r="C6" s="78"/>
      <c r="D6" s="167"/>
      <c r="E6" s="377"/>
      <c r="F6" s="140"/>
      <c r="G6" s="422">
        <f>IF('Terms of Use'!$Z$67=0,"INVALID ORGANISATION NAME… DOCUMENT WILL NOT CALCULATE ACCURATELY.  PLEASE TRY AGAIN.",0)</f>
        <v>0</v>
      </c>
      <c r="H6" s="166"/>
      <c r="I6" s="166"/>
      <c r="J6" s="423"/>
      <c r="K6" s="82"/>
      <c r="L6" s="86"/>
      <c r="M6" s="86"/>
      <c r="N6" s="86"/>
      <c r="O6" s="86"/>
      <c r="P6" s="86"/>
      <c r="Q6" s="86"/>
      <c r="R6" s="86"/>
    </row>
    <row r="7" spans="1:18" ht="16.5" customHeight="1">
      <c r="A7" s="86"/>
      <c r="B7" s="86"/>
      <c r="C7" s="78"/>
      <c r="D7" s="62"/>
      <c r="E7" s="378" t="s">
        <v>153</v>
      </c>
      <c r="F7" s="168"/>
      <c r="G7" s="169"/>
      <c r="H7" s="207"/>
      <c r="I7" s="366" t="str">
        <f>('TEACHER COST'!$I$8)</f>
        <v>2005/2006</v>
      </c>
      <c r="J7" s="206"/>
      <c r="K7" s="32"/>
      <c r="L7" s="86"/>
      <c r="M7" s="86"/>
      <c r="N7" s="86"/>
      <c r="O7" s="86"/>
      <c r="P7" s="86"/>
      <c r="Q7" s="86"/>
      <c r="R7" s="86"/>
    </row>
    <row r="8" spans="1:18" ht="16.5" customHeight="1">
      <c r="A8" s="86"/>
      <c r="B8" s="86"/>
      <c r="C8" s="78"/>
      <c r="D8" s="629" t="str">
        <f>IF('Terms of Use'!$H$31='Terms of Use'!$O$2,"   **UNAUTHORISED USER!  THIS DOCUMENT WILL NOT CALCULATE ACCURATELY**",0)</f>
        <v>   **UNAUTHORISED USER!  THIS DOCUMENT WILL NOT CALCULATE ACCURATELY**</v>
      </c>
      <c r="E8" s="166"/>
      <c r="F8" s="166"/>
      <c r="G8" s="166"/>
      <c r="H8" s="366"/>
      <c r="I8" s="366"/>
      <c r="J8" s="206"/>
      <c r="K8" s="78"/>
      <c r="L8" s="86"/>
      <c r="M8" s="86"/>
      <c r="N8" s="86"/>
      <c r="O8" s="86"/>
      <c r="P8" s="86"/>
      <c r="Q8" s="86"/>
      <c r="R8" s="86"/>
    </row>
    <row r="9" spans="1:18" ht="5.25" customHeight="1" thickBot="1">
      <c r="A9" s="86"/>
      <c r="B9" s="86"/>
      <c r="C9" s="78"/>
      <c r="D9" s="165"/>
      <c r="E9" s="362"/>
      <c r="F9" s="140"/>
      <c r="G9" s="140"/>
      <c r="H9" s="140"/>
      <c r="I9" s="140"/>
      <c r="J9" s="209"/>
      <c r="K9" s="80"/>
      <c r="L9" s="86"/>
      <c r="M9" s="86"/>
      <c r="N9" s="86"/>
      <c r="O9" s="86"/>
      <c r="P9" s="86"/>
      <c r="Q9" s="86"/>
      <c r="R9" s="86"/>
    </row>
    <row r="10" spans="1:18" ht="30" customHeight="1" thickTop="1">
      <c r="A10" s="86"/>
      <c r="B10" s="86"/>
      <c r="C10" s="78"/>
      <c r="D10" s="365"/>
      <c r="E10" s="389"/>
      <c r="F10" s="376"/>
      <c r="G10" s="376" t="s">
        <v>158</v>
      </c>
      <c r="H10" s="376"/>
      <c r="I10" s="390"/>
      <c r="J10" s="406" t="s">
        <v>163</v>
      </c>
      <c r="K10" s="83"/>
      <c r="L10" s="86"/>
      <c r="M10" s="86"/>
      <c r="N10" s="86"/>
      <c r="O10" s="86"/>
      <c r="P10" s="86"/>
      <c r="Q10" s="86"/>
      <c r="R10" s="86"/>
    </row>
    <row r="11" spans="1:18" ht="19.5" customHeight="1">
      <c r="A11" s="86"/>
      <c r="B11" s="86"/>
      <c r="C11" s="78"/>
      <c r="D11" s="179"/>
      <c r="E11" s="382" t="s">
        <v>11</v>
      </c>
      <c r="F11" s="371" t="s">
        <v>154</v>
      </c>
      <c r="G11" s="373" t="s">
        <v>154</v>
      </c>
      <c r="H11" s="398" t="s">
        <v>159</v>
      </c>
      <c r="I11" s="441" t="s">
        <v>3</v>
      </c>
      <c r="J11" s="368"/>
      <c r="K11" s="84"/>
      <c r="L11" s="86"/>
      <c r="M11" s="86"/>
      <c r="N11" s="86"/>
      <c r="O11" s="86"/>
      <c r="P11" s="86"/>
      <c r="Q11" s="86"/>
      <c r="R11" s="86"/>
    </row>
    <row r="12" spans="1:18" ht="19.5" customHeight="1">
      <c r="A12" s="86"/>
      <c r="B12" s="86"/>
      <c r="C12" s="78"/>
      <c r="D12" s="179"/>
      <c r="E12" s="380" t="s">
        <v>6</v>
      </c>
      <c r="F12" s="371" t="s">
        <v>157</v>
      </c>
      <c r="G12" s="374" t="s">
        <v>157</v>
      </c>
      <c r="H12" s="399" t="s">
        <v>160</v>
      </c>
      <c r="I12" s="442" t="s">
        <v>161</v>
      </c>
      <c r="J12" s="368"/>
      <c r="K12" s="84"/>
      <c r="L12" s="86"/>
      <c r="M12" s="86"/>
      <c r="N12" s="86"/>
      <c r="O12" s="86"/>
      <c r="P12" s="86"/>
      <c r="Q12" s="86"/>
      <c r="R12" s="86"/>
    </row>
    <row r="13" spans="1:18" ht="19.5" customHeight="1">
      <c r="A13" s="86"/>
      <c r="B13" s="86"/>
      <c r="C13" s="78"/>
      <c r="D13" s="364"/>
      <c r="E13" s="383" t="s">
        <v>83</v>
      </c>
      <c r="F13" s="379" t="s">
        <v>155</v>
      </c>
      <c r="G13" s="375" t="s">
        <v>156</v>
      </c>
      <c r="H13" s="400"/>
      <c r="I13" s="443" t="s">
        <v>16</v>
      </c>
      <c r="J13" s="401"/>
      <c r="K13" s="83"/>
      <c r="L13" s="86"/>
      <c r="M13" s="86"/>
      <c r="N13" s="86"/>
      <c r="O13" s="86"/>
      <c r="P13" s="86"/>
      <c r="Q13" s="86"/>
      <c r="R13" s="86"/>
    </row>
    <row r="14" spans="1:18" ht="14.25" customHeight="1">
      <c r="A14" s="86"/>
      <c r="B14" s="86"/>
      <c r="C14" s="78"/>
      <c r="D14" s="364"/>
      <c r="E14" s="191"/>
      <c r="F14" s="384"/>
      <c r="G14" s="385"/>
      <c r="H14" s="447"/>
      <c r="I14" s="444"/>
      <c r="J14" s="369"/>
      <c r="K14" s="83"/>
      <c r="L14" s="86"/>
      <c r="M14" s="86"/>
      <c r="N14" s="86"/>
      <c r="O14" s="86"/>
      <c r="P14" s="86"/>
      <c r="Q14" s="86"/>
      <c r="R14" s="86"/>
    </row>
    <row r="15" spans="1:18" ht="27.75" customHeight="1">
      <c r="A15" s="86"/>
      <c r="B15" s="86"/>
      <c r="C15" s="78"/>
      <c r="D15" s="419" t="s">
        <v>140</v>
      </c>
      <c r="E15" s="714">
        <v>0</v>
      </c>
      <c r="F15" s="387">
        <f>IF($E15&lt;0.01,0,(((VLOOKUP($E15,'Salary Scales'!$F$74:$G$122,2))))-'Salary Scales'!$M$98+'Salary Scales'!$M$111)/('Salary Scales'!$I$8*52)*1.5</f>
        <v>0</v>
      </c>
      <c r="G15" s="388">
        <f>IF(E15&lt;0.001,0,(($F15/1.5)/5)+$F15)</f>
        <v>0</v>
      </c>
      <c r="H15" s="448">
        <f>(($F15/1.5)*2)</f>
        <v>0</v>
      </c>
      <c r="I15" s="715">
        <v>0</v>
      </c>
      <c r="J15" s="209"/>
      <c r="K15" s="83"/>
      <c r="L15" s="316"/>
      <c r="M15" s="86"/>
      <c r="N15" s="86"/>
      <c r="O15" s="86"/>
      <c r="P15" s="86"/>
      <c r="Q15" s="86"/>
      <c r="R15" s="86"/>
    </row>
    <row r="16" spans="1:18" ht="18" customHeight="1">
      <c r="A16" s="86"/>
      <c r="B16" s="86"/>
      <c r="C16" s="78"/>
      <c r="D16" s="62"/>
      <c r="E16" s="381"/>
      <c r="F16" s="626"/>
      <c r="G16" s="386"/>
      <c r="H16" s="627"/>
      <c r="I16" s="445"/>
      <c r="J16" s="370"/>
      <c r="K16" s="83"/>
      <c r="L16" s="316"/>
      <c r="M16" s="86"/>
      <c r="N16" s="86"/>
      <c r="O16" s="86"/>
      <c r="P16" s="86"/>
      <c r="Q16" s="86"/>
      <c r="R16" s="86"/>
    </row>
    <row r="17" spans="1:18" ht="27.75" customHeight="1">
      <c r="A17" s="86"/>
      <c r="B17" s="86"/>
      <c r="C17" s="78"/>
      <c r="D17" s="420" t="s">
        <v>24</v>
      </c>
      <c r="E17" s="714">
        <v>0</v>
      </c>
      <c r="F17" s="387">
        <f>IF($E17&lt;0.01,0,(((VLOOKUP($E17,'Salary Scales'!$F$74:$G$122,2))))-'Salary Scales'!$M$98+'Salary Scales'!$M$111)/('Salary Scales'!$I$8*52)*1.5</f>
        <v>0</v>
      </c>
      <c r="G17" s="388">
        <f>IF(E17&lt;0.001,0,(($F17/1.5)/5)+$F17)</f>
        <v>0</v>
      </c>
      <c r="H17" s="448">
        <f>(($F17/1.5)*2)</f>
        <v>0</v>
      </c>
      <c r="I17" s="715">
        <v>0</v>
      </c>
      <c r="J17" s="370"/>
      <c r="K17" s="83"/>
      <c r="L17" s="316"/>
      <c r="M17" s="86"/>
      <c r="N17" s="86"/>
      <c r="O17" s="86"/>
      <c r="P17" s="86"/>
      <c r="Q17" s="86"/>
      <c r="R17" s="86"/>
    </row>
    <row r="18" spans="1:18" ht="15" customHeight="1" thickBot="1">
      <c r="A18" s="86"/>
      <c r="B18" s="86"/>
      <c r="C18" s="78"/>
      <c r="D18" s="413"/>
      <c r="E18" s="414"/>
      <c r="F18" s="415"/>
      <c r="G18" s="416"/>
      <c r="H18" s="449"/>
      <c r="I18" s="446"/>
      <c r="J18" s="417"/>
      <c r="K18" s="83"/>
      <c r="L18" s="316"/>
      <c r="M18" s="86"/>
      <c r="N18" s="86"/>
      <c r="O18" s="86"/>
      <c r="P18" s="86"/>
      <c r="Q18" s="86"/>
      <c r="R18" s="86"/>
    </row>
    <row r="19" spans="1:18" ht="30" customHeight="1">
      <c r="A19" s="86"/>
      <c r="B19" s="86"/>
      <c r="C19" s="78"/>
      <c r="D19" s="391"/>
      <c r="E19" s="402"/>
      <c r="F19" s="412"/>
      <c r="G19" s="405" t="s">
        <v>162</v>
      </c>
      <c r="H19" s="412"/>
      <c r="I19" s="403"/>
      <c r="J19" s="370"/>
      <c r="K19" s="83"/>
      <c r="L19" s="316"/>
      <c r="M19" s="86"/>
      <c r="N19" s="86"/>
      <c r="O19" s="86"/>
      <c r="P19" s="86"/>
      <c r="Q19" s="86"/>
      <c r="R19" s="86"/>
    </row>
    <row r="20" spans="1:18" ht="19.5" customHeight="1">
      <c r="A20" s="86"/>
      <c r="B20" s="86"/>
      <c r="C20" s="78"/>
      <c r="D20" s="391"/>
      <c r="E20" s="380" t="s">
        <v>11</v>
      </c>
      <c r="F20" s="371" t="s">
        <v>154</v>
      </c>
      <c r="G20" s="374" t="s">
        <v>154</v>
      </c>
      <c r="H20" s="398" t="s">
        <v>159</v>
      </c>
      <c r="I20" s="409"/>
      <c r="J20" s="370"/>
      <c r="K20" s="83"/>
      <c r="L20" s="316"/>
      <c r="M20" s="86"/>
      <c r="N20" s="86"/>
      <c r="O20" s="86"/>
      <c r="P20" s="86"/>
      <c r="Q20" s="86"/>
      <c r="R20" s="86"/>
    </row>
    <row r="21" spans="1:18" ht="19.5" customHeight="1">
      <c r="A21" s="86"/>
      <c r="B21" s="86"/>
      <c r="C21" s="78"/>
      <c r="D21" s="391"/>
      <c r="E21" s="380" t="s">
        <v>6</v>
      </c>
      <c r="F21" s="371" t="s">
        <v>157</v>
      </c>
      <c r="G21" s="374" t="s">
        <v>157</v>
      </c>
      <c r="H21" s="399" t="s">
        <v>160</v>
      </c>
      <c r="I21" s="371"/>
      <c r="J21" s="370"/>
      <c r="K21" s="83"/>
      <c r="L21" s="316"/>
      <c r="M21" s="86"/>
      <c r="N21" s="86"/>
      <c r="O21" s="86"/>
      <c r="P21" s="86"/>
      <c r="Q21" s="86"/>
      <c r="R21" s="86"/>
    </row>
    <row r="22" spans="1:18" ht="19.5" customHeight="1">
      <c r="A22" s="86"/>
      <c r="B22" s="86"/>
      <c r="C22" s="78"/>
      <c r="D22" s="391"/>
      <c r="E22" s="383" t="s">
        <v>83</v>
      </c>
      <c r="F22" s="379" t="s">
        <v>155</v>
      </c>
      <c r="G22" s="375" t="s">
        <v>156</v>
      </c>
      <c r="H22" s="400"/>
      <c r="I22" s="371"/>
      <c r="J22" s="370"/>
      <c r="K22" s="83"/>
      <c r="L22" s="316"/>
      <c r="M22" s="86"/>
      <c r="N22" s="86"/>
      <c r="O22" s="86"/>
      <c r="P22" s="86"/>
      <c r="Q22" s="86"/>
      <c r="R22" s="86"/>
    </row>
    <row r="23" spans="1:18" ht="14.25" customHeight="1">
      <c r="A23" s="86"/>
      <c r="B23" s="86"/>
      <c r="C23" s="78"/>
      <c r="D23" s="391"/>
      <c r="E23" s="392"/>
      <c r="F23" s="393"/>
      <c r="G23" s="394"/>
      <c r="H23" s="407"/>
      <c r="I23" s="410"/>
      <c r="J23" s="370"/>
      <c r="K23" s="83"/>
      <c r="L23" s="316"/>
      <c r="M23" s="86"/>
      <c r="N23" s="86"/>
      <c r="O23" s="86"/>
      <c r="P23" s="86"/>
      <c r="Q23" s="86"/>
      <c r="R23" s="86"/>
    </row>
    <row r="24" spans="1:18" ht="27.75" customHeight="1">
      <c r="A24" s="86"/>
      <c r="B24" s="86"/>
      <c r="C24" s="78"/>
      <c r="D24" s="419" t="s">
        <v>140</v>
      </c>
      <c r="E24" s="404">
        <f>E15</f>
        <v>0</v>
      </c>
      <c r="F24" s="393">
        <f>(F15+(F15*$I15))</f>
        <v>0</v>
      </c>
      <c r="G24" s="394">
        <f>(G15+(G15*$I15))</f>
        <v>0</v>
      </c>
      <c r="H24" s="407">
        <f>(H15+(H15*$I15))</f>
        <v>0</v>
      </c>
      <c r="I24" s="410"/>
      <c r="J24" s="370"/>
      <c r="K24" s="83"/>
      <c r="L24" s="316"/>
      <c r="M24" s="86"/>
      <c r="N24" s="86"/>
      <c r="O24" s="86"/>
      <c r="P24" s="86"/>
      <c r="Q24" s="86"/>
      <c r="R24" s="86"/>
    </row>
    <row r="25" spans="1:18" ht="18" customHeight="1">
      <c r="A25" s="86"/>
      <c r="B25" s="86"/>
      <c r="C25" s="78"/>
      <c r="D25" s="62"/>
      <c r="E25" s="392"/>
      <c r="F25" s="393"/>
      <c r="G25" s="394"/>
      <c r="H25" s="407"/>
      <c r="I25" s="410"/>
      <c r="J25" s="370"/>
      <c r="K25" s="83"/>
      <c r="L25" s="316"/>
      <c r="M25" s="86"/>
      <c r="N25" s="86"/>
      <c r="O25" s="86"/>
      <c r="P25" s="86"/>
      <c r="Q25" s="86"/>
      <c r="R25" s="86"/>
    </row>
    <row r="26" spans="1:18" ht="27.75" customHeight="1">
      <c r="A26" s="86"/>
      <c r="B26" s="86"/>
      <c r="C26" s="78"/>
      <c r="D26" s="420" t="s">
        <v>24</v>
      </c>
      <c r="E26" s="404">
        <f>E17</f>
        <v>0</v>
      </c>
      <c r="F26" s="393">
        <f>(F17+(F17*$I17))</f>
        <v>0</v>
      </c>
      <c r="G26" s="394">
        <f>(G17+(G17*$I17))</f>
        <v>0</v>
      </c>
      <c r="H26" s="407">
        <f>(H17+(H17*$I17))</f>
        <v>0</v>
      </c>
      <c r="I26" s="410"/>
      <c r="J26" s="370"/>
      <c r="K26" s="83"/>
      <c r="L26" s="316"/>
      <c r="M26" s="86"/>
      <c r="N26" s="86"/>
      <c r="O26" s="86"/>
      <c r="P26" s="86"/>
      <c r="Q26" s="86"/>
      <c r="R26" s="86"/>
    </row>
    <row r="27" spans="1:18" ht="15" customHeight="1" thickBot="1">
      <c r="A27" s="86"/>
      <c r="B27" s="86"/>
      <c r="C27" s="78"/>
      <c r="D27" s="197"/>
      <c r="E27" s="395"/>
      <c r="F27" s="396"/>
      <c r="G27" s="397"/>
      <c r="H27" s="408"/>
      <c r="I27" s="411"/>
      <c r="J27" s="363"/>
      <c r="K27" s="83"/>
      <c r="L27" s="316"/>
      <c r="M27" s="86"/>
      <c r="N27" s="86"/>
      <c r="O27" s="86"/>
      <c r="P27" s="86"/>
      <c r="Q27" s="86"/>
      <c r="R27" s="86"/>
    </row>
    <row r="28" spans="1:18" ht="4.5" customHeight="1">
      <c r="A28" s="86"/>
      <c r="B28" s="86"/>
      <c r="C28" s="78"/>
      <c r="D28" s="79"/>
      <c r="E28" s="79"/>
      <c r="F28" s="80"/>
      <c r="G28" s="78"/>
      <c r="H28" s="78"/>
      <c r="I28" s="78"/>
      <c r="J28" s="78"/>
      <c r="K28" s="81"/>
      <c r="L28" s="86"/>
      <c r="M28" s="86"/>
      <c r="N28" s="86"/>
      <c r="O28" s="86"/>
      <c r="P28" s="86"/>
      <c r="Q28" s="86"/>
      <c r="R28" s="86"/>
    </row>
    <row r="29" spans="1:18" ht="15">
      <c r="A29" s="86"/>
      <c r="B29" s="86"/>
      <c r="C29" s="86"/>
      <c r="D29" s="86"/>
      <c r="E29" s="86"/>
      <c r="F29" s="86"/>
      <c r="G29" s="86"/>
      <c r="H29" s="86"/>
      <c r="I29" s="86"/>
      <c r="J29" s="86"/>
      <c r="K29" s="86"/>
      <c r="L29" s="86"/>
      <c r="M29" s="86"/>
      <c r="N29" s="86"/>
      <c r="O29" s="86"/>
      <c r="P29" s="86"/>
      <c r="Q29" s="86"/>
      <c r="R29" s="86"/>
    </row>
    <row r="30" spans="1:18" ht="15">
      <c r="A30" s="86"/>
      <c r="B30" s="86"/>
      <c r="C30" s="86"/>
      <c r="D30" s="86"/>
      <c r="E30" s="86"/>
      <c r="F30" s="86"/>
      <c r="G30" s="86"/>
      <c r="H30" s="86"/>
      <c r="I30" s="86"/>
      <c r="J30" s="86"/>
      <c r="K30" s="86"/>
      <c r="L30" s="86"/>
      <c r="M30" s="86"/>
      <c r="N30" s="86"/>
      <c r="O30" s="86"/>
      <c r="P30" s="86"/>
      <c r="Q30" s="86"/>
      <c r="R30" s="86"/>
    </row>
    <row r="31" spans="1:18" ht="15">
      <c r="A31" s="86"/>
      <c r="B31" s="86"/>
      <c r="C31" s="86"/>
      <c r="D31" s="86"/>
      <c r="E31" s="86"/>
      <c r="F31" s="86"/>
      <c r="G31" s="86"/>
      <c r="H31" s="86"/>
      <c r="I31" s="86"/>
      <c r="J31" s="86"/>
      <c r="K31" s="86"/>
      <c r="L31" s="86"/>
      <c r="M31" s="86"/>
      <c r="N31" s="86"/>
      <c r="O31" s="86"/>
      <c r="P31" s="86"/>
      <c r="Q31" s="86"/>
      <c r="R31" s="86"/>
    </row>
    <row r="32" spans="1:18" ht="15">
      <c r="A32" s="86"/>
      <c r="B32" s="86"/>
      <c r="C32" s="86"/>
      <c r="D32" s="86"/>
      <c r="E32" s="86"/>
      <c r="F32" s="86"/>
      <c r="G32" s="86"/>
      <c r="H32" s="86"/>
      <c r="I32" s="86"/>
      <c r="J32" s="86"/>
      <c r="K32" s="86"/>
      <c r="L32" s="86"/>
      <c r="M32" s="86"/>
      <c r="N32" s="86"/>
      <c r="O32" s="86"/>
      <c r="P32" s="86"/>
      <c r="Q32" s="86"/>
      <c r="R32" s="86"/>
    </row>
    <row r="33" spans="1:18" ht="15">
      <c r="A33" s="86"/>
      <c r="B33" s="86"/>
      <c r="C33" s="86"/>
      <c r="D33" s="86"/>
      <c r="E33" s="86"/>
      <c r="F33" s="86"/>
      <c r="G33" s="86"/>
      <c r="H33" s="86"/>
      <c r="I33" s="86"/>
      <c r="J33" s="86"/>
      <c r="K33" s="86"/>
      <c r="L33" s="86"/>
      <c r="M33" s="86"/>
      <c r="N33" s="86"/>
      <c r="O33" s="86"/>
      <c r="P33" s="86"/>
      <c r="Q33" s="86"/>
      <c r="R33" s="86"/>
    </row>
    <row r="34" spans="1:18" ht="15">
      <c r="A34" s="86"/>
      <c r="B34" s="86"/>
      <c r="C34" s="86"/>
      <c r="D34" s="86"/>
      <c r="E34" s="86"/>
      <c r="F34" s="86"/>
      <c r="G34" s="86"/>
      <c r="H34" s="86"/>
      <c r="I34" s="86"/>
      <c r="J34" s="86"/>
      <c r="K34" s="86"/>
      <c r="L34" s="86"/>
      <c r="M34" s="86"/>
      <c r="N34" s="86"/>
      <c r="O34" s="86"/>
      <c r="P34" s="86"/>
      <c r="Q34" s="86"/>
      <c r="R34" s="86"/>
    </row>
    <row r="35" spans="1:18" ht="15">
      <c r="A35" s="86"/>
      <c r="B35" s="86"/>
      <c r="C35" s="86"/>
      <c r="D35" s="86"/>
      <c r="E35" s="86"/>
      <c r="F35" s="86"/>
      <c r="G35" s="86"/>
      <c r="H35" s="86"/>
      <c r="I35" s="86"/>
      <c r="J35" s="86"/>
      <c r="K35" s="86"/>
      <c r="L35" s="86"/>
      <c r="M35" s="86"/>
      <c r="N35" s="86"/>
      <c r="O35" s="86"/>
      <c r="P35" s="86"/>
      <c r="Q35" s="86"/>
      <c r="R35" s="86"/>
    </row>
    <row r="36" spans="1:18" ht="15">
      <c r="A36" s="86"/>
      <c r="B36" s="86"/>
      <c r="C36" s="86"/>
      <c r="D36" s="86"/>
      <c r="E36" s="86"/>
      <c r="F36" s="86"/>
      <c r="G36" s="86"/>
      <c r="H36" s="86"/>
      <c r="I36" s="86"/>
      <c r="J36" s="86"/>
      <c r="K36" s="86"/>
      <c r="L36" s="86"/>
      <c r="M36" s="86"/>
      <c r="N36" s="86"/>
      <c r="O36" s="86"/>
      <c r="P36" s="86"/>
      <c r="Q36" s="86"/>
      <c r="R36" s="86"/>
    </row>
    <row r="37" spans="1:18" ht="15">
      <c r="A37" s="86"/>
      <c r="B37" s="86"/>
      <c r="C37" s="86"/>
      <c r="D37" s="86"/>
      <c r="E37" s="86"/>
      <c r="F37" s="86"/>
      <c r="G37" s="86"/>
      <c r="H37" s="86"/>
      <c r="I37" s="86"/>
      <c r="J37" s="86"/>
      <c r="K37" s="86"/>
      <c r="L37" s="86"/>
      <c r="M37" s="86"/>
      <c r="N37" s="86"/>
      <c r="O37" s="86"/>
      <c r="P37" s="86"/>
      <c r="Q37" s="86"/>
      <c r="R37" s="86"/>
    </row>
    <row r="38" spans="1:18" ht="15">
      <c r="A38" s="86"/>
      <c r="B38" s="86"/>
      <c r="C38" s="86"/>
      <c r="D38" s="86"/>
      <c r="E38" s="86"/>
      <c r="F38" s="86"/>
      <c r="G38" s="86"/>
      <c r="H38" s="86"/>
      <c r="I38" s="86"/>
      <c r="J38" s="86"/>
      <c r="K38" s="86"/>
      <c r="L38" s="86"/>
      <c r="M38" s="86"/>
      <c r="N38" s="86"/>
      <c r="O38" s="86"/>
      <c r="P38" s="86"/>
      <c r="Q38" s="86"/>
      <c r="R38" s="86"/>
    </row>
    <row r="39" spans="1:18" ht="15">
      <c r="A39" s="86"/>
      <c r="B39" s="86"/>
      <c r="C39" s="86"/>
      <c r="D39" s="86"/>
      <c r="E39" s="86"/>
      <c r="F39" s="86"/>
      <c r="G39" s="86"/>
      <c r="H39" s="86"/>
      <c r="I39" s="86"/>
      <c r="J39" s="86"/>
      <c r="K39" s="86"/>
      <c r="L39" s="86"/>
      <c r="M39" s="86"/>
      <c r="N39" s="86"/>
      <c r="O39" s="86"/>
      <c r="P39" s="86"/>
      <c r="Q39" s="86"/>
      <c r="R39" s="86"/>
    </row>
    <row r="40" spans="1:18" ht="15">
      <c r="A40" s="86"/>
      <c r="B40" s="86"/>
      <c r="C40" s="86"/>
      <c r="D40" s="86"/>
      <c r="E40" s="86"/>
      <c r="F40" s="86"/>
      <c r="G40" s="86"/>
      <c r="H40" s="86"/>
      <c r="I40" s="86"/>
      <c r="J40" s="86"/>
      <c r="K40" s="86"/>
      <c r="L40" s="86"/>
      <c r="M40" s="86"/>
      <c r="N40" s="86"/>
      <c r="O40" s="86"/>
      <c r="P40" s="86"/>
      <c r="Q40" s="86"/>
      <c r="R40" s="86"/>
    </row>
    <row r="41" spans="1:18" ht="15">
      <c r="A41" s="86"/>
      <c r="B41" s="86"/>
      <c r="C41" s="86"/>
      <c r="D41" s="86"/>
      <c r="E41" s="86"/>
      <c r="F41" s="86"/>
      <c r="G41" s="86"/>
      <c r="H41" s="86"/>
      <c r="I41" s="86"/>
      <c r="J41" s="86"/>
      <c r="K41" s="86"/>
      <c r="L41" s="86"/>
      <c r="M41" s="86"/>
      <c r="N41" s="86"/>
      <c r="O41" s="86"/>
      <c r="P41" s="86"/>
      <c r="Q41" s="86"/>
      <c r="R41" s="86"/>
    </row>
    <row r="42" spans="1:18" ht="15">
      <c r="A42" s="86"/>
      <c r="B42" s="86"/>
      <c r="C42" s="86"/>
      <c r="D42" s="86"/>
      <c r="E42" s="86"/>
      <c r="F42" s="86"/>
      <c r="G42" s="86"/>
      <c r="H42" s="86"/>
      <c r="I42" s="86"/>
      <c r="J42" s="86"/>
      <c r="K42" s="86"/>
      <c r="L42" s="86"/>
      <c r="M42" s="86"/>
      <c r="N42" s="86"/>
      <c r="O42" s="86"/>
      <c r="P42" s="86"/>
      <c r="Q42" s="86"/>
      <c r="R42" s="86"/>
    </row>
    <row r="43" spans="1:18" ht="15">
      <c r="A43" s="86"/>
      <c r="B43" s="86"/>
      <c r="C43" s="86"/>
      <c r="D43" s="86"/>
      <c r="E43" s="86"/>
      <c r="F43" s="86"/>
      <c r="G43" s="86"/>
      <c r="H43" s="86"/>
      <c r="I43" s="86"/>
      <c r="J43" s="86"/>
      <c r="K43" s="86"/>
      <c r="L43" s="86"/>
      <c r="M43" s="86"/>
      <c r="N43" s="86"/>
      <c r="O43" s="86"/>
      <c r="P43" s="86"/>
      <c r="Q43" s="86"/>
      <c r="R43" s="86"/>
    </row>
    <row r="44" spans="1:18" ht="15">
      <c r="A44" s="86"/>
      <c r="B44" s="86"/>
      <c r="C44" s="86"/>
      <c r="D44" s="86"/>
      <c r="E44" s="86"/>
      <c r="F44" s="86"/>
      <c r="G44" s="86"/>
      <c r="H44" s="86"/>
      <c r="I44" s="86"/>
      <c r="J44" s="86"/>
      <c r="K44" s="86"/>
      <c r="L44" s="86"/>
      <c r="M44" s="86"/>
      <c r="N44" s="86"/>
      <c r="O44" s="86"/>
      <c r="P44" s="86"/>
      <c r="Q44" s="86"/>
      <c r="R44" s="86"/>
    </row>
    <row r="45" spans="1:18" ht="15">
      <c r="A45" s="86"/>
      <c r="B45" s="86"/>
      <c r="C45" s="86"/>
      <c r="D45" s="86"/>
      <c r="E45" s="86"/>
      <c r="F45" s="86"/>
      <c r="G45" s="86"/>
      <c r="H45" s="86"/>
      <c r="I45" s="86"/>
      <c r="J45" s="86"/>
      <c r="K45" s="86"/>
      <c r="L45" s="86"/>
      <c r="M45" s="86"/>
      <c r="N45" s="86"/>
      <c r="O45" s="86"/>
      <c r="P45" s="86"/>
      <c r="Q45" s="86"/>
      <c r="R45" s="86"/>
    </row>
    <row r="46" spans="1:18" ht="15">
      <c r="A46" s="86"/>
      <c r="B46" s="86"/>
      <c r="C46" s="86"/>
      <c r="D46" s="86"/>
      <c r="E46" s="86"/>
      <c r="F46" s="86"/>
      <c r="G46" s="86"/>
      <c r="H46" s="86"/>
      <c r="I46" s="86"/>
      <c r="J46" s="86"/>
      <c r="K46" s="86"/>
      <c r="L46" s="86"/>
      <c r="M46" s="86"/>
      <c r="N46" s="86"/>
      <c r="O46" s="86"/>
      <c r="P46" s="86"/>
      <c r="Q46" s="86"/>
      <c r="R46" s="86"/>
    </row>
    <row r="47" spans="1:18" ht="15">
      <c r="A47" s="86"/>
      <c r="B47" s="86"/>
      <c r="C47" s="86"/>
      <c r="D47" s="86"/>
      <c r="E47" s="86"/>
      <c r="F47" s="86"/>
      <c r="G47" s="86"/>
      <c r="H47" s="86"/>
      <c r="I47" s="86"/>
      <c r="J47" s="86"/>
      <c r="K47" s="86"/>
      <c r="L47" s="86"/>
      <c r="M47" s="86"/>
      <c r="N47" s="86"/>
      <c r="O47" s="86"/>
      <c r="P47" s="86"/>
      <c r="Q47" s="86"/>
      <c r="R47" s="86"/>
    </row>
    <row r="48" spans="1:18" ht="15">
      <c r="A48" s="86"/>
      <c r="B48" s="86"/>
      <c r="C48" s="86"/>
      <c r="D48" s="86"/>
      <c r="E48" s="86"/>
      <c r="F48" s="86"/>
      <c r="G48" s="86"/>
      <c r="H48" s="86"/>
      <c r="I48" s="86"/>
      <c r="J48" s="86"/>
      <c r="K48" s="86"/>
      <c r="L48" s="86"/>
      <c r="M48" s="86"/>
      <c r="N48" s="86"/>
      <c r="O48" s="86"/>
      <c r="P48" s="86"/>
      <c r="Q48" s="86"/>
      <c r="R48" s="86"/>
    </row>
    <row r="49" spans="1:18" ht="15">
      <c r="A49" s="86"/>
      <c r="B49" s="86"/>
      <c r="C49" s="86"/>
      <c r="D49" s="86"/>
      <c r="E49" s="86"/>
      <c r="F49" s="86"/>
      <c r="G49" s="86"/>
      <c r="H49" s="86"/>
      <c r="I49" s="86"/>
      <c r="J49" s="86"/>
      <c r="K49" s="86"/>
      <c r="L49" s="86"/>
      <c r="M49" s="86"/>
      <c r="N49" s="86"/>
      <c r="O49" s="86"/>
      <c r="P49" s="86"/>
      <c r="Q49" s="86"/>
      <c r="R49" s="86"/>
    </row>
    <row r="50" spans="1:18" ht="15">
      <c r="A50" s="86"/>
      <c r="B50" s="86"/>
      <c r="C50" s="86"/>
      <c r="D50" s="86"/>
      <c r="E50" s="86"/>
      <c r="F50" s="86"/>
      <c r="G50" s="86"/>
      <c r="H50" s="86"/>
      <c r="I50" s="86"/>
      <c r="J50" s="86"/>
      <c r="K50" s="86"/>
      <c r="L50" s="86"/>
      <c r="M50" s="86"/>
      <c r="N50" s="86"/>
      <c r="O50" s="86"/>
      <c r="P50" s="86"/>
      <c r="Q50" s="86"/>
      <c r="R50" s="86"/>
    </row>
    <row r="51" spans="1:18" ht="15">
      <c r="A51" s="86"/>
      <c r="B51" s="86"/>
      <c r="C51" s="86"/>
      <c r="D51" s="86"/>
      <c r="E51" s="86"/>
      <c r="F51" s="86"/>
      <c r="G51" s="86"/>
      <c r="H51" s="86"/>
      <c r="I51" s="86"/>
      <c r="J51" s="86"/>
      <c r="K51" s="86"/>
      <c r="L51" s="86"/>
      <c r="M51" s="86"/>
      <c r="N51" s="86"/>
      <c r="O51" s="86"/>
      <c r="P51" s="86"/>
      <c r="Q51" s="86"/>
      <c r="R51" s="86"/>
    </row>
  </sheetData>
  <sheetProtection password="DD49" sheet="1" objects="1" scenarios="1"/>
  <conditionalFormatting sqref="D8">
    <cfRule type="cellIs" priority="1" dxfId="1" operator="equal" stopIfTrue="1">
      <formula>0</formula>
    </cfRule>
  </conditionalFormatting>
  <dataValidations count="13">
    <dataValidation type="custom" allowBlank="1" showInputMessage="1" showErrorMessage="1" errorTitle="STOP!" error="&#10;This cell has an automatic link, or is formatted to provide information without user input.&#10;&#10;Only continue if you wish to overwrite this.&#10;&#10;CLICK 'Cancel' IF YOU DO NOT WISH TO PROCEED.&#10;" sqref="K5:K6">
      <formula1>"NO INPUT REQUIRED"</formula1>
    </dataValidation>
    <dataValidation type="custom" allowBlank="1" showInputMessage="1" showErrorMessage="1" errorTitle="FIXED SYMBOL" sqref="D2:E3">
      <formula1>"NO CHANGE REQUIRED"</formula1>
    </dataValidation>
    <dataValidation type="custom" allowBlank="1" showInputMessage="1" showErrorMessage="1" sqref="F6">
      <formula1>"NO CHANGE ALLOWED"</formula1>
    </dataValidation>
    <dataValidation type="custom" allowBlank="1" showInputMessage="1" showErrorMessage="1" errorTitle="COPYRIGHT PROTECTION!" error="&#10;Tampering with this cell puts you in breach of copyright laws.&#10;&#10;Click 'Cancel' to end." sqref="F7 K7">
      <formula1>"COPYRIGHT PROTECTION"</formula1>
    </dataValidation>
    <dataValidation allowBlank="1" showInputMessage="1" showErrorMessage="1" errorTitle="COPYRIGHT PROTECTION!" error="&#10;Tampering with this cell puts you in breach of copyright laws.&#10;&#10;Click 'Cancel' to end." sqref="G7"/>
    <dataValidation type="custom" allowBlank="1" showInputMessage="1" showErrorMessage="1" sqref="G4:I4 D24 E20:H22 G19 D15 D17 E11:I13 G10 D7:E7 D5:F5 I7 J10 D26">
      <formula1>"NO CHANGE ADVISED"</formula1>
    </dataValidation>
    <dataValidation type="whole" allowBlank="1" showInputMessage="1" showErrorMessage="1" promptTitle="ENTER SALARY POINT PAYABLE" prompt="&#10;Enter the appropriate salary point on which you wish the overtime rate to be based. (Up to point 22)." sqref="E17">
      <formula1>0</formula1>
      <formula2>52</formula2>
    </dataValidation>
    <dataValidation allowBlank="1" showInputMessage="1" showErrorMessage="1" promptTitle="ENTER % ON-COST HERE" prompt="&#10;By entering the % on-cost rate here you will be provided with inclusive hourly overtime rates below." sqref="I15 I17"/>
    <dataValidation type="custom" allowBlank="1" showInputMessage="1" showErrorMessage="1" sqref="F14:H14 F18:H18">
      <formula1>"NO ENTRY REQUIRED"</formula1>
    </dataValidation>
    <dataValidation type="custom" allowBlank="1" showInputMessage="1" showErrorMessage="1" errorTitle="COPYRIGHT PROTECTION!" error="&#10;Tampering with this cell puts you in breach of copyright laws.&#10;&#10;Click 'Cancel' to end." sqref="J6 G6">
      <formula1>"COPYRIGHT PROTECTION!"</formula1>
    </dataValidation>
    <dataValidation type="whole" allowBlank="1" showInputMessage="1" showErrorMessage="1" promptTitle="ENTER SALARY POINT PAYABLE" prompt="&#10;Enter the appropriate salary point on which you wish the overtime rate to be based. (Up to point 34)." sqref="E15">
      <formula1>0</formula1>
      <formula2>52</formula2>
    </dataValidation>
    <dataValidation type="custom" allowBlank="1" showInputMessage="1" showErrorMessage="1" sqref="E24:H24 E26:H26 G15:H17 F16">
      <formula1>"NO CHANGE"</formula1>
    </dataValidation>
    <dataValidation type="custom" allowBlank="1" showInputMessage="1" showErrorMessage="1" sqref="F15 F17">
      <formula1>"no change"</formula1>
    </dataValidation>
  </dataValidations>
  <hyperlinks>
    <hyperlink ref="G1" location="INDEX!A1" tooltip="Go to Index" display="INDEX"/>
  </hyperlinks>
  <printOptions horizontalCentered="1"/>
  <pageMargins left="0.7480314960629921" right="0.7480314960629921" top="0.984251968503937" bottom="0.5905511811023623" header="0.5118110236220472" footer="0.5118110236220472"/>
  <pageSetup blackAndWhite="1" fitToHeight="1" fitToWidth="1" horizontalDpi="600" verticalDpi="600" orientation="landscape" paperSize="9" scale="90"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C95"/>
  <sheetViews>
    <sheetView showGridLines="0" showRowColHeaders="0" zoomScale="75" zoomScaleNormal="75" workbookViewId="0" topLeftCell="A1">
      <pane ySplit="1" topLeftCell="BM2" activePane="bottomLeft" state="frozen"/>
      <selection pane="topLeft" activeCell="K12" sqref="K12:L12"/>
      <selection pane="bottomLeft" activeCell="A2" sqref="A2"/>
    </sheetView>
  </sheetViews>
  <sheetFormatPr defaultColWidth="8.88671875" defaultRowHeight="0" customHeight="1" zeroHeight="1"/>
  <cols>
    <col min="1" max="1" width="1.77734375" style="9" customWidth="1"/>
    <col min="2" max="2" width="0.78125" style="9" customWidth="1"/>
    <col min="3" max="3" width="4.6640625" style="9" customWidth="1"/>
    <col min="4" max="5" width="10.77734375" style="9" customWidth="1"/>
    <col min="6" max="6" width="12.6640625" style="9" customWidth="1"/>
    <col min="7" max="7" width="12.5546875" style="9" customWidth="1"/>
    <col min="8" max="8" width="13.88671875" style="9" customWidth="1"/>
    <col min="9" max="9" width="10.77734375" style="9" customWidth="1"/>
    <col min="10" max="10" width="11.21484375" style="9" customWidth="1"/>
    <col min="11" max="11" width="12.6640625" style="9" customWidth="1"/>
    <col min="12" max="12" width="10.77734375" style="9" customWidth="1"/>
    <col min="13" max="13" width="4.77734375" style="9" customWidth="1"/>
    <col min="14" max="14" width="0.671875" style="9" customWidth="1"/>
    <col min="15" max="15" width="2.77734375" style="9" customWidth="1"/>
    <col min="16" max="16" width="2.88671875" style="9" customWidth="1"/>
    <col min="17" max="17" width="2.77734375" style="9" customWidth="1"/>
    <col min="18" max="18" width="8.77734375" style="9" customWidth="1"/>
    <col min="19" max="19" width="16.6640625" style="9" customWidth="1"/>
    <col min="20" max="21" width="8.77734375" style="9" customWidth="1"/>
    <col min="22" max="22" width="2.77734375" style="9" customWidth="1"/>
    <col min="23" max="29" width="8.88671875" style="9" customWidth="1"/>
    <col min="30" max="16384" width="0" style="9" hidden="1" customWidth="1"/>
  </cols>
  <sheetData>
    <row r="1" spans="1:29" ht="30" customHeight="1">
      <c r="A1" s="33"/>
      <c r="B1" s="33"/>
      <c r="C1" s="1104"/>
      <c r="D1" s="1104"/>
      <c r="E1" s="33"/>
      <c r="F1" s="583" t="s">
        <v>244</v>
      </c>
      <c r="G1" s="33"/>
      <c r="H1" s="572"/>
      <c r="I1" s="1103" t="s">
        <v>258</v>
      </c>
      <c r="J1" s="1105"/>
      <c r="K1" s="1105"/>
      <c r="L1" s="1105"/>
      <c r="M1" s="1099"/>
      <c r="N1" s="33"/>
      <c r="O1" s="33"/>
      <c r="P1" s="33"/>
      <c r="Q1" s="33"/>
      <c r="R1" s="33"/>
      <c r="S1" s="33"/>
      <c r="T1" s="33"/>
      <c r="U1" s="33"/>
      <c r="V1" s="33"/>
      <c r="W1" s="33"/>
      <c r="X1" s="33"/>
      <c r="Y1" s="33"/>
      <c r="Z1" s="33"/>
      <c r="AA1" s="33"/>
      <c r="AB1" s="33"/>
      <c r="AC1" s="33"/>
    </row>
    <row r="2" spans="1:29" ht="24"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row>
    <row r="3" spans="1:29" ht="4.5" customHeight="1" thickBot="1">
      <c r="A3" s="33"/>
      <c r="B3" s="30"/>
      <c r="C3" s="31"/>
      <c r="D3" s="30"/>
      <c r="E3" s="30"/>
      <c r="F3" s="30"/>
      <c r="G3" s="30"/>
      <c r="H3" s="30"/>
      <c r="I3" s="30"/>
      <c r="J3" s="30"/>
      <c r="K3" s="30"/>
      <c r="L3" s="30"/>
      <c r="M3" s="30"/>
      <c r="N3" s="30"/>
      <c r="O3" s="33"/>
      <c r="P3" s="33"/>
      <c r="Q3" s="33"/>
      <c r="R3" s="33"/>
      <c r="S3" s="33"/>
      <c r="T3" s="33"/>
      <c r="U3" s="33"/>
      <c r="V3" s="33"/>
      <c r="W3" s="33"/>
      <c r="X3" s="33"/>
      <c r="Y3" s="33"/>
      <c r="Z3" s="33"/>
      <c r="AA3" s="33"/>
      <c r="AB3" s="33"/>
      <c r="AC3" s="33"/>
    </row>
    <row r="4" spans="1:29" ht="11.25" customHeight="1">
      <c r="A4" s="33"/>
      <c r="B4" s="30"/>
      <c r="C4" s="512"/>
      <c r="D4" s="110"/>
      <c r="E4" s="110"/>
      <c r="F4" s="110"/>
      <c r="G4" s="110"/>
      <c r="H4" s="110"/>
      <c r="I4" s="110"/>
      <c r="J4" s="110"/>
      <c r="K4" s="110"/>
      <c r="L4" s="110"/>
      <c r="M4" s="112"/>
      <c r="N4" s="30"/>
      <c r="O4" s="33"/>
      <c r="P4" s="33"/>
      <c r="Q4" s="33"/>
      <c r="R4" s="33"/>
      <c r="S4" s="33"/>
      <c r="T4" s="33"/>
      <c r="U4" s="33"/>
      <c r="V4" s="33"/>
      <c r="W4" s="33"/>
      <c r="X4" s="33"/>
      <c r="Y4" s="33"/>
      <c r="Z4" s="33"/>
      <c r="AA4" s="33"/>
      <c r="AB4" s="33"/>
      <c r="AC4" s="33"/>
    </row>
    <row r="5" spans="1:29" ht="25.5" customHeight="1">
      <c r="A5" s="33"/>
      <c r="B5" s="30"/>
      <c r="C5" s="115"/>
      <c r="D5" s="24"/>
      <c r="E5" s="24"/>
      <c r="F5" s="1117" t="str">
        <f>'Terms of Use'!H7</f>
        <v>LONDON BOROUGH OF RICHMOND UPON THAMES</v>
      </c>
      <c r="G5" s="1118"/>
      <c r="H5" s="1118"/>
      <c r="I5" s="1118"/>
      <c r="J5" s="1118"/>
      <c r="K5" s="514"/>
      <c r="L5" s="514"/>
      <c r="M5" s="114"/>
      <c r="N5" s="30"/>
      <c r="O5" s="33"/>
      <c r="P5" s="33"/>
      <c r="Q5" s="33"/>
      <c r="R5" s="33"/>
      <c r="S5" s="33"/>
      <c r="T5" s="33"/>
      <c r="U5" s="33"/>
      <c r="V5" s="33"/>
      <c r="W5" s="33"/>
      <c r="X5" s="33"/>
      <c r="Y5" s="33"/>
      <c r="Z5" s="33"/>
      <c r="AA5" s="33"/>
      <c r="AB5" s="33"/>
      <c r="AC5" s="33"/>
    </row>
    <row r="6" spans="1:29" ht="15">
      <c r="A6" s="33"/>
      <c r="B6" s="30"/>
      <c r="C6" s="113"/>
      <c r="D6" s="24"/>
      <c r="E6" s="24"/>
      <c r="F6" s="24"/>
      <c r="G6" s="24"/>
      <c r="H6" s="24"/>
      <c r="I6" s="24"/>
      <c r="J6" s="24"/>
      <c r="K6" s="24"/>
      <c r="L6" s="24"/>
      <c r="M6" s="114"/>
      <c r="N6" s="30"/>
      <c r="O6" s="33"/>
      <c r="P6" s="33"/>
      <c r="Q6" s="33"/>
      <c r="R6" s="33"/>
      <c r="S6" s="33"/>
      <c r="T6" s="33"/>
      <c r="U6" s="33"/>
      <c r="V6" s="33"/>
      <c r="W6" s="33"/>
      <c r="X6" s="33"/>
      <c r="Y6" s="33"/>
      <c r="Z6" s="33"/>
      <c r="AA6" s="33"/>
      <c r="AB6" s="33"/>
      <c r="AC6" s="33"/>
    </row>
    <row r="7" spans="1:29" ht="25.5" customHeight="1">
      <c r="A7" s="33"/>
      <c r="B7" s="30"/>
      <c r="C7" s="113"/>
      <c r="D7" s="24"/>
      <c r="E7" s="24"/>
      <c r="F7" s="24"/>
      <c r="G7" s="24"/>
      <c r="H7" s="571" t="str">
        <f>'Terms of Use'!H31</f>
        <v>SELECT SCHOOL NAME FROM LIST</v>
      </c>
      <c r="I7" s="24"/>
      <c r="J7" s="24"/>
      <c r="K7" s="24"/>
      <c r="L7" s="24"/>
      <c r="M7" s="114"/>
      <c r="N7" s="30"/>
      <c r="O7" s="33"/>
      <c r="P7" s="33"/>
      <c r="Q7" s="33"/>
      <c r="R7" s="33"/>
      <c r="S7" s="33"/>
      <c r="T7" s="33"/>
      <c r="U7" s="33"/>
      <c r="V7" s="33"/>
      <c r="W7" s="33"/>
      <c r="X7" s="33"/>
      <c r="Y7" s="33"/>
      <c r="Z7" s="33"/>
      <c r="AA7" s="33"/>
      <c r="AB7" s="33"/>
      <c r="AC7" s="33"/>
    </row>
    <row r="8" spans="1:29" ht="15">
      <c r="A8" s="33"/>
      <c r="B8" s="30"/>
      <c r="C8" s="113"/>
      <c r="D8" s="24"/>
      <c r="E8" s="24"/>
      <c r="F8" s="24"/>
      <c r="G8" s="24"/>
      <c r="H8" s="24"/>
      <c r="I8" s="24"/>
      <c r="J8" s="24"/>
      <c r="K8" s="24"/>
      <c r="L8" s="24"/>
      <c r="M8" s="114"/>
      <c r="N8" s="30"/>
      <c r="O8" s="33"/>
      <c r="P8" s="33"/>
      <c r="Q8" s="33"/>
      <c r="R8" s="33"/>
      <c r="S8" s="33"/>
      <c r="T8" s="33"/>
      <c r="U8" s="33"/>
      <c r="V8" s="33"/>
      <c r="W8" s="33"/>
      <c r="X8" s="33"/>
      <c r="Y8" s="33"/>
      <c r="Z8" s="33"/>
      <c r="AA8" s="33"/>
      <c r="AB8" s="33"/>
      <c r="AC8" s="33"/>
    </row>
    <row r="9" spans="1:29" ht="25.5" customHeight="1">
      <c r="A9" s="33"/>
      <c r="B9" s="30"/>
      <c r="C9" s="113"/>
      <c r="D9" s="569"/>
      <c r="E9" s="569"/>
      <c r="F9" s="569"/>
      <c r="G9" s="568"/>
      <c r="H9" s="568"/>
      <c r="I9" s="569"/>
      <c r="J9" s="564" t="s">
        <v>247</v>
      </c>
      <c r="K9" s="570">
        <f>'Salary Scales'!D22</f>
        <v>38596</v>
      </c>
      <c r="L9" s="24"/>
      <c r="M9" s="114"/>
      <c r="N9" s="30"/>
      <c r="O9" s="33"/>
      <c r="P9" s="33"/>
      <c r="Q9" s="33"/>
      <c r="R9" s="33"/>
      <c r="S9" s="33"/>
      <c r="T9" s="33"/>
      <c r="U9" s="33"/>
      <c r="V9" s="33"/>
      <c r="W9" s="33"/>
      <c r="X9" s="33"/>
      <c r="Y9" s="33"/>
      <c r="Z9" s="33"/>
      <c r="AA9" s="33"/>
      <c r="AB9" s="33"/>
      <c r="AC9" s="33"/>
    </row>
    <row r="10" spans="1:29" ht="6.75" customHeight="1">
      <c r="A10" s="33"/>
      <c r="B10" s="30"/>
      <c r="C10" s="113"/>
      <c r="D10" s="517"/>
      <c r="E10" s="517"/>
      <c r="F10" s="517"/>
      <c r="G10" s="517"/>
      <c r="H10" s="517"/>
      <c r="I10" s="517"/>
      <c r="J10" s="517"/>
      <c r="K10" s="517"/>
      <c r="L10" s="517"/>
      <c r="M10" s="114"/>
      <c r="N10" s="30"/>
      <c r="O10" s="33"/>
      <c r="P10" s="33"/>
      <c r="Q10" s="33"/>
      <c r="R10" s="33"/>
      <c r="S10" s="33"/>
      <c r="T10" s="33"/>
      <c r="U10" s="33"/>
      <c r="V10" s="33"/>
      <c r="W10" s="33"/>
      <c r="X10" s="33"/>
      <c r="Y10" s="33"/>
      <c r="Z10" s="33"/>
      <c r="AA10" s="33"/>
      <c r="AB10" s="33"/>
      <c r="AC10" s="33"/>
    </row>
    <row r="11" spans="1:29" ht="15">
      <c r="A11" s="33"/>
      <c r="B11" s="30"/>
      <c r="C11" s="113"/>
      <c r="D11" s="24"/>
      <c r="E11" s="24"/>
      <c r="F11" s="24"/>
      <c r="G11" s="24"/>
      <c r="H11" s="24"/>
      <c r="I11" s="24"/>
      <c r="J11" s="24"/>
      <c r="K11" s="515"/>
      <c r="M11" s="114"/>
      <c r="N11" s="30"/>
      <c r="O11" s="33"/>
      <c r="P11" s="33"/>
      <c r="Q11" s="33"/>
      <c r="R11" s="33"/>
      <c r="S11" s="33"/>
      <c r="T11" s="33"/>
      <c r="U11" s="33"/>
      <c r="V11" s="33"/>
      <c r="W11" s="33"/>
      <c r="X11" s="33"/>
      <c r="Y11" s="33"/>
      <c r="Z11" s="33"/>
      <c r="AA11" s="33"/>
      <c r="AB11" s="33"/>
      <c r="AC11" s="33"/>
    </row>
    <row r="12" spans="1:29" ht="25.5" customHeight="1">
      <c r="A12" s="33"/>
      <c r="B12" s="30"/>
      <c r="C12" s="113"/>
      <c r="D12" s="24"/>
      <c r="E12" s="24"/>
      <c r="F12" s="24"/>
      <c r="G12" s="24"/>
      <c r="H12" s="24"/>
      <c r="I12" s="24"/>
      <c r="J12" s="24"/>
      <c r="K12" s="24"/>
      <c r="L12" s="24"/>
      <c r="M12" s="114"/>
      <c r="N12" s="30"/>
      <c r="O12" s="33"/>
      <c r="P12" s="33"/>
      <c r="Q12" s="33"/>
      <c r="R12" s="33"/>
      <c r="S12" s="33"/>
      <c r="T12" s="33"/>
      <c r="U12" s="33"/>
      <c r="V12" s="33"/>
      <c r="W12" s="33"/>
      <c r="X12" s="33"/>
      <c r="Y12" s="33"/>
      <c r="Z12" s="33"/>
      <c r="AA12" s="33"/>
      <c r="AB12" s="33"/>
      <c r="AC12" s="33"/>
    </row>
    <row r="13" spans="1:29" ht="18">
      <c r="A13" s="33"/>
      <c r="B13" s="30"/>
      <c r="C13" s="113"/>
      <c r="D13" s="540" t="s">
        <v>222</v>
      </c>
      <c r="E13" s="1115"/>
      <c r="F13" s="1116"/>
      <c r="G13" s="1116"/>
      <c r="H13" s="514"/>
      <c r="I13" s="567" t="s">
        <v>219</v>
      </c>
      <c r="J13" s="1115"/>
      <c r="K13" s="1116"/>
      <c r="L13" s="1116"/>
      <c r="M13" s="114"/>
      <c r="N13" s="30"/>
      <c r="O13" s="33"/>
      <c r="P13" s="33"/>
      <c r="Q13" s="33"/>
      <c r="R13" s="33"/>
      <c r="S13" s="33"/>
      <c r="T13" s="33"/>
      <c r="U13" s="33"/>
      <c r="V13" s="33"/>
      <c r="W13" s="33"/>
      <c r="X13" s="33"/>
      <c r="Y13" s="33"/>
      <c r="Z13" s="33"/>
      <c r="AA13" s="33"/>
      <c r="AB13" s="33"/>
      <c r="AC13" s="33"/>
    </row>
    <row r="14" spans="1:29" ht="20.25" customHeight="1">
      <c r="A14" s="33"/>
      <c r="B14" s="30"/>
      <c r="C14" s="113"/>
      <c r="D14" s="24"/>
      <c r="E14" s="24"/>
      <c r="F14" s="24"/>
      <c r="G14" s="24"/>
      <c r="H14" s="24"/>
      <c r="I14" s="24"/>
      <c r="J14" s="24"/>
      <c r="K14" s="24"/>
      <c r="L14" s="24"/>
      <c r="M14" s="114"/>
      <c r="N14" s="30"/>
      <c r="O14" s="33"/>
      <c r="P14" s="33"/>
      <c r="Q14" s="33"/>
      <c r="R14" s="33"/>
      <c r="S14" s="33"/>
      <c r="T14" s="33"/>
      <c r="U14" s="33"/>
      <c r="V14" s="33"/>
      <c r="W14" s="33"/>
      <c r="X14" s="33"/>
      <c r="Y14" s="33"/>
      <c r="Z14" s="33"/>
      <c r="AA14" s="33"/>
      <c r="AB14" s="33"/>
      <c r="AC14" s="33"/>
    </row>
    <row r="15" spans="1:29" ht="20.25" customHeight="1">
      <c r="A15" s="33"/>
      <c r="B15" s="30"/>
      <c r="C15" s="113"/>
      <c r="D15" s="24"/>
      <c r="E15" s="24"/>
      <c r="F15" s="24"/>
      <c r="G15" s="24"/>
      <c r="H15" s="24"/>
      <c r="I15" s="24"/>
      <c r="J15" s="24"/>
      <c r="K15" s="24"/>
      <c r="L15" s="24"/>
      <c r="M15" s="114"/>
      <c r="N15" s="30"/>
      <c r="O15" s="33"/>
      <c r="P15" s="33"/>
      <c r="Q15" s="33"/>
      <c r="R15" s="33"/>
      <c r="S15" s="33"/>
      <c r="T15" s="33"/>
      <c r="U15" s="33"/>
      <c r="V15" s="33"/>
      <c r="W15" s="33"/>
      <c r="X15" s="33"/>
      <c r="Y15" s="33"/>
      <c r="Z15" s="33"/>
      <c r="AA15" s="33"/>
      <c r="AB15" s="33"/>
      <c r="AC15" s="33"/>
    </row>
    <row r="16" spans="1:29" ht="20.25" customHeight="1">
      <c r="A16" s="33"/>
      <c r="B16" s="30"/>
      <c r="C16" s="118"/>
      <c r="E16" s="565" t="s">
        <v>223</v>
      </c>
      <c r="F16" s="578">
        <f>SUM('TEACHER COST'!E14:E18)</f>
        <v>2</v>
      </c>
      <c r="H16" s="565" t="s">
        <v>224</v>
      </c>
      <c r="I16" s="579">
        <f>SUM('TEACHER COST'!D14:D18)*'Salary Scales'!I5</f>
        <v>32.5</v>
      </c>
      <c r="K16" s="565" t="s">
        <v>225</v>
      </c>
      <c r="L16" s="578">
        <v>52</v>
      </c>
      <c r="M16" s="521"/>
      <c r="N16" s="30"/>
      <c r="O16" s="33"/>
      <c r="P16" s="33"/>
      <c r="Q16" s="33"/>
      <c r="R16" s="33"/>
      <c r="S16" s="33"/>
      <c r="T16" s="33"/>
      <c r="U16" s="33"/>
      <c r="V16" s="33"/>
      <c r="W16" s="33"/>
      <c r="X16" s="33"/>
      <c r="Y16" s="33"/>
      <c r="Z16" s="33"/>
      <c r="AA16" s="33"/>
      <c r="AB16" s="33"/>
      <c r="AC16" s="33"/>
    </row>
    <row r="17" spans="1:29" ht="20.25" customHeight="1">
      <c r="A17" s="33"/>
      <c r="B17" s="30"/>
      <c r="C17" s="118"/>
      <c r="E17" s="565"/>
      <c r="F17" s="564"/>
      <c r="H17" s="565"/>
      <c r="I17" s="563"/>
      <c r="K17" s="565"/>
      <c r="L17" s="564"/>
      <c r="M17" s="521"/>
      <c r="N17" s="30"/>
      <c r="O17" s="33"/>
      <c r="P17" s="33"/>
      <c r="Q17" s="33"/>
      <c r="R17" s="33"/>
      <c r="S17" s="33"/>
      <c r="T17" s="33"/>
      <c r="U17" s="33"/>
      <c r="V17" s="33"/>
      <c r="W17" s="33"/>
      <c r="X17" s="33"/>
      <c r="Y17" s="33"/>
      <c r="Z17" s="33"/>
      <c r="AA17" s="33"/>
      <c r="AB17" s="33"/>
      <c r="AC17" s="33"/>
    </row>
    <row r="18" spans="1:29" ht="20.25" customHeight="1">
      <c r="A18" s="33"/>
      <c r="B18" s="30"/>
      <c r="C18" s="118"/>
      <c r="D18" s="518"/>
      <c r="E18" s="518"/>
      <c r="F18" s="518"/>
      <c r="G18" s="518"/>
      <c r="H18" s="518"/>
      <c r="I18" s="518"/>
      <c r="J18" s="518"/>
      <c r="K18" s="518"/>
      <c r="L18" s="518"/>
      <c r="M18" s="521"/>
      <c r="N18" s="30"/>
      <c r="O18" s="33"/>
      <c r="P18" s="33"/>
      <c r="Q18" s="33"/>
      <c r="R18" s="33"/>
      <c r="S18" s="33"/>
      <c r="T18" s="33"/>
      <c r="U18" s="33"/>
      <c r="V18" s="33"/>
      <c r="W18" s="33"/>
      <c r="X18" s="33"/>
      <c r="Y18" s="33"/>
      <c r="Z18" s="33"/>
      <c r="AA18" s="33"/>
      <c r="AB18" s="33"/>
      <c r="AC18" s="33"/>
    </row>
    <row r="19" spans="1:29" ht="20.25" customHeight="1">
      <c r="A19" s="33"/>
      <c r="B19" s="30"/>
      <c r="C19" s="118"/>
      <c r="D19" s="565" t="s">
        <v>251</v>
      </c>
      <c r="E19" s="577" t="str">
        <f>IF(F16=0,"",IF('TEACHER COST'!P14&gt;0,'TEACHER COST'!B14,IF('TEACHER COST'!P15&gt;0,'TEACHER COST'!B14,IF('TEACHER COST'!P16&gt;0,'TEACHER COST'!B14,IF('TEACHER COST'!F17&gt;0,'TEACHER COST'!B15,IF('TEACHER COST'!G17&gt;0,'TEACHER COST'!B16,IF('TEACHER COST'!F17+'TEACHER COST'!G17=0,'TEACHER COST'!B17,IF('TEACHER COST'!P18&gt;0,'TEACHER COST'!B18,""))))))))</f>
        <v>U.P.S. SCALE</v>
      </c>
      <c r="F19" s="576"/>
      <c r="G19" s="518"/>
      <c r="H19" s="565" t="s">
        <v>227</v>
      </c>
      <c r="I19" s="580">
        <f>SUM('TEACHER COST'!H14:I18)*L19</f>
        <v>2250</v>
      </c>
      <c r="J19" s="518"/>
      <c r="K19" s="565" t="s">
        <v>228</v>
      </c>
      <c r="L19" s="579">
        <f>SUM('TEACHER COST'!D14:D18)</f>
        <v>1</v>
      </c>
      <c r="M19" s="521"/>
      <c r="N19" s="30"/>
      <c r="O19" s="33"/>
      <c r="P19" s="33"/>
      <c r="Q19" s="33"/>
      <c r="R19" s="33"/>
      <c r="S19" s="33"/>
      <c r="T19" s="33"/>
      <c r="U19" s="33"/>
      <c r="V19" s="33"/>
      <c r="W19" s="33"/>
      <c r="X19" s="33"/>
      <c r="Y19" s="33"/>
      <c r="Z19" s="33"/>
      <c r="AA19" s="33"/>
      <c r="AB19" s="33"/>
      <c r="AC19" s="33"/>
    </row>
    <row r="20" spans="1:29" ht="20.25" customHeight="1">
      <c r="A20" s="33"/>
      <c r="B20" s="30"/>
      <c r="C20" s="118"/>
      <c r="E20" s="565"/>
      <c r="F20" s="563"/>
      <c r="G20" s="518"/>
      <c r="H20" s="565"/>
      <c r="I20" s="566"/>
      <c r="J20" s="518"/>
      <c r="K20" s="565"/>
      <c r="L20" s="563"/>
      <c r="M20" s="521"/>
      <c r="N20" s="30"/>
      <c r="O20" s="33"/>
      <c r="P20" s="33"/>
      <c r="Q20" s="33"/>
      <c r="R20" s="33"/>
      <c r="S20" s="33"/>
      <c r="T20" s="33"/>
      <c r="U20" s="33"/>
      <c r="V20" s="33"/>
      <c r="W20" s="33"/>
      <c r="X20" s="33"/>
      <c r="Y20" s="33"/>
      <c r="Z20" s="33"/>
      <c r="AA20" s="33"/>
      <c r="AB20" s="33"/>
      <c r="AC20" s="33"/>
    </row>
    <row r="21" spans="1:29" ht="20.25" customHeight="1">
      <c r="A21" s="33"/>
      <c r="B21" s="30"/>
      <c r="C21" s="118"/>
      <c r="E21" s="520"/>
      <c r="F21" s="526"/>
      <c r="G21" s="518"/>
      <c r="H21" s="520"/>
      <c r="I21" s="527"/>
      <c r="J21" s="518"/>
      <c r="K21" s="520"/>
      <c r="L21" s="526"/>
      <c r="M21" s="521"/>
      <c r="N21" s="30"/>
      <c r="O21" s="33"/>
      <c r="P21" s="33"/>
      <c r="Q21" s="33"/>
      <c r="R21" s="33"/>
      <c r="S21" s="33"/>
      <c r="T21" s="33"/>
      <c r="U21" s="33"/>
      <c r="V21" s="33"/>
      <c r="W21" s="33"/>
      <c r="X21" s="33"/>
      <c r="Y21" s="33"/>
      <c r="Z21" s="33"/>
      <c r="AA21" s="33"/>
      <c r="AB21" s="33"/>
      <c r="AC21" s="33"/>
    </row>
    <row r="22" spans="1:29" ht="20.25" customHeight="1">
      <c r="A22" s="33"/>
      <c r="B22" s="30"/>
      <c r="C22" s="118"/>
      <c r="E22" s="520"/>
      <c r="F22" s="560"/>
      <c r="G22" s="561"/>
      <c r="H22" s="562"/>
      <c r="I22" s="527"/>
      <c r="J22" s="518"/>
      <c r="K22" s="520"/>
      <c r="L22" s="526"/>
      <c r="M22" s="521"/>
      <c r="N22" s="30"/>
      <c r="O22" s="33"/>
      <c r="P22" s="33"/>
      <c r="Q22" s="33"/>
      <c r="R22" s="33"/>
      <c r="S22" s="33"/>
      <c r="T22" s="33"/>
      <c r="U22" s="33"/>
      <c r="V22" s="33"/>
      <c r="W22" s="33"/>
      <c r="X22" s="33"/>
      <c r="Y22" s="33"/>
      <c r="Z22" s="33"/>
      <c r="AA22" s="33"/>
      <c r="AB22" s="33"/>
      <c r="AC22" s="33"/>
    </row>
    <row r="23" spans="1:29" ht="21" customHeight="1">
      <c r="A23" s="33"/>
      <c r="B23" s="30"/>
      <c r="C23" s="118"/>
      <c r="D23" s="528"/>
      <c r="E23" s="529"/>
      <c r="F23" s="529"/>
      <c r="G23" s="529"/>
      <c r="H23" s="529"/>
      <c r="I23" s="529"/>
      <c r="J23" s="529"/>
      <c r="K23" s="529"/>
      <c r="L23" s="529"/>
      <c r="M23" s="521"/>
      <c r="N23" s="30"/>
      <c r="O23" s="33"/>
      <c r="P23" s="33"/>
      <c r="Q23" s="33"/>
      <c r="R23" s="33"/>
      <c r="S23" s="33"/>
      <c r="T23" s="33"/>
      <c r="U23" s="33"/>
      <c r="V23" s="33"/>
      <c r="W23" s="33"/>
      <c r="X23" s="33"/>
      <c r="Y23" s="33"/>
      <c r="Z23" s="33"/>
      <c r="AA23" s="33"/>
      <c r="AB23" s="33"/>
      <c r="AC23" s="33"/>
    </row>
    <row r="24" spans="1:29" ht="15.75" customHeight="1">
      <c r="A24" s="33"/>
      <c r="B24" s="30"/>
      <c r="C24" s="118"/>
      <c r="D24" s="520"/>
      <c r="E24" s="518"/>
      <c r="F24" s="518"/>
      <c r="G24" s="518"/>
      <c r="H24" s="518"/>
      <c r="I24" s="518"/>
      <c r="J24" s="518"/>
      <c r="K24" s="518"/>
      <c r="L24" s="518"/>
      <c r="M24" s="521"/>
      <c r="N24" s="30"/>
      <c r="O24" s="33"/>
      <c r="P24" s="33"/>
      <c r="Q24" s="33"/>
      <c r="R24" s="33"/>
      <c r="S24" s="33"/>
      <c r="T24" s="33"/>
      <c r="U24" s="33"/>
      <c r="V24" s="33"/>
      <c r="W24" s="33"/>
      <c r="X24" s="33"/>
      <c r="Y24" s="33"/>
      <c r="Z24" s="33"/>
      <c r="AA24" s="33"/>
      <c r="AB24" s="33"/>
      <c r="AC24" s="33"/>
    </row>
    <row r="25" spans="1:29" ht="30" customHeight="1">
      <c r="A25" s="33"/>
      <c r="B25" s="30"/>
      <c r="C25" s="118"/>
      <c r="D25" s="518"/>
      <c r="E25" s="518"/>
      <c r="F25" s="518"/>
      <c r="G25" s="518"/>
      <c r="H25" s="518"/>
      <c r="I25" s="518"/>
      <c r="J25" s="518"/>
      <c r="K25" s="518"/>
      <c r="L25" s="518"/>
      <c r="M25" s="521"/>
      <c r="N25" s="30"/>
      <c r="O25" s="33"/>
      <c r="P25" s="33"/>
      <c r="Q25" s="33"/>
      <c r="R25" s="33"/>
      <c r="S25" s="33"/>
      <c r="T25" s="33"/>
      <c r="U25" s="33"/>
      <c r="V25" s="33"/>
      <c r="W25" s="33"/>
      <c r="X25" s="33"/>
      <c r="Y25" s="33"/>
      <c r="Z25" s="33"/>
      <c r="AA25" s="33"/>
      <c r="AB25" s="33"/>
      <c r="AC25" s="33"/>
    </row>
    <row r="26" spans="1:29" ht="17.25" customHeight="1">
      <c r="A26" s="33"/>
      <c r="B26" s="30"/>
      <c r="C26" s="118"/>
      <c r="D26" s="530"/>
      <c r="E26" s="531"/>
      <c r="F26" s="531"/>
      <c r="G26" s="531"/>
      <c r="H26" s="531"/>
      <c r="I26" s="531"/>
      <c r="J26" s="531"/>
      <c r="K26" s="531"/>
      <c r="L26" s="532"/>
      <c r="M26" s="521"/>
      <c r="N26" s="30"/>
      <c r="O26" s="33"/>
      <c r="P26" s="33"/>
      <c r="Q26" s="33"/>
      <c r="R26" s="33"/>
      <c r="S26" s="33"/>
      <c r="T26" s="33"/>
      <c r="U26" s="33"/>
      <c r="V26" s="33"/>
      <c r="W26" s="33"/>
      <c r="X26" s="33"/>
      <c r="Y26" s="33"/>
      <c r="Z26" s="33"/>
      <c r="AA26" s="33"/>
      <c r="AB26" s="33"/>
      <c r="AC26" s="33"/>
    </row>
    <row r="27" spans="1:29" ht="20.25" customHeight="1">
      <c r="A27" s="33"/>
      <c r="B27" s="30"/>
      <c r="C27" s="118"/>
      <c r="D27" s="555" t="s">
        <v>242</v>
      </c>
      <c r="E27" s="551"/>
      <c r="F27" s="551"/>
      <c r="G27" s="551"/>
      <c r="H27" s="551"/>
      <c r="I27" s="551"/>
      <c r="J27" s="551"/>
      <c r="K27" s="551"/>
      <c r="L27" s="552"/>
      <c r="M27" s="521"/>
      <c r="N27" s="30"/>
      <c r="O27" s="33"/>
      <c r="P27" s="33"/>
      <c r="Q27" s="33"/>
      <c r="R27" s="33"/>
      <c r="S27" s="33"/>
      <c r="T27" s="33"/>
      <c r="U27" s="33"/>
      <c r="V27" s="33"/>
      <c r="W27" s="33"/>
      <c r="X27" s="33"/>
      <c r="Y27" s="33"/>
      <c r="Z27" s="33"/>
      <c r="AA27" s="33"/>
      <c r="AB27" s="33"/>
      <c r="AC27" s="33"/>
    </row>
    <row r="28" spans="1:29" ht="20.25" customHeight="1">
      <c r="A28" s="33"/>
      <c r="B28" s="30"/>
      <c r="C28" s="118"/>
      <c r="D28" s="533"/>
      <c r="E28" s="534"/>
      <c r="F28" s="534"/>
      <c r="G28" s="534"/>
      <c r="H28" s="534"/>
      <c r="I28" s="534"/>
      <c r="J28" s="534"/>
      <c r="K28" s="534"/>
      <c r="L28" s="535"/>
      <c r="M28" s="521"/>
      <c r="N28" s="30"/>
      <c r="O28" s="33"/>
      <c r="P28" s="33"/>
      <c r="Q28" s="33"/>
      <c r="R28" s="33"/>
      <c r="S28" s="33"/>
      <c r="T28" s="33"/>
      <c r="U28" s="33"/>
      <c r="V28" s="33"/>
      <c r="W28" s="33"/>
      <c r="X28" s="33"/>
      <c r="Y28" s="33"/>
      <c r="Z28" s="33"/>
      <c r="AA28" s="33"/>
      <c r="AB28" s="33"/>
      <c r="AC28" s="33"/>
    </row>
    <row r="29" spans="1:29" ht="20.25" customHeight="1">
      <c r="A29" s="33"/>
      <c r="B29" s="30"/>
      <c r="C29" s="118"/>
      <c r="D29" s="533"/>
      <c r="E29" s="534"/>
      <c r="F29" s="534"/>
      <c r="G29" s="534"/>
      <c r="H29" s="534"/>
      <c r="I29" s="534"/>
      <c r="J29" s="534"/>
      <c r="K29" s="534"/>
      <c r="L29" s="535"/>
      <c r="M29" s="521"/>
      <c r="N29" s="30"/>
      <c r="O29" s="33"/>
      <c r="P29" s="33"/>
      <c r="Q29" s="33"/>
      <c r="R29" s="33"/>
      <c r="S29" s="33"/>
      <c r="T29" s="33"/>
      <c r="U29" s="33"/>
      <c r="V29" s="33"/>
      <c r="W29" s="33"/>
      <c r="X29" s="33"/>
      <c r="Y29" s="33"/>
      <c r="Z29" s="33"/>
      <c r="AA29" s="33"/>
      <c r="AB29" s="33"/>
      <c r="AC29" s="33"/>
    </row>
    <row r="30" spans="1:29" ht="20.25" customHeight="1">
      <c r="A30" s="33"/>
      <c r="B30" s="30"/>
      <c r="C30" s="118"/>
      <c r="D30" s="533"/>
      <c r="E30" s="534"/>
      <c r="F30" s="534"/>
      <c r="G30" s="558" t="s">
        <v>236</v>
      </c>
      <c r="H30" s="556">
        <f>SUM('TEACHER COST'!N14:O18)-H32</f>
        <v>34101</v>
      </c>
      <c r="I30" s="559" t="s">
        <v>238</v>
      </c>
      <c r="J30" s="534"/>
      <c r="K30" s="534"/>
      <c r="L30" s="535"/>
      <c r="M30" s="521"/>
      <c r="N30" s="30"/>
      <c r="O30" s="33"/>
      <c r="P30" s="33"/>
      <c r="Q30" s="33"/>
      <c r="R30" s="33"/>
      <c r="S30" s="33"/>
      <c r="T30" s="33"/>
      <c r="U30" s="33"/>
      <c r="V30" s="33"/>
      <c r="W30" s="33"/>
      <c r="X30" s="33"/>
      <c r="Y30" s="33"/>
      <c r="Z30" s="33"/>
      <c r="AA30" s="33"/>
      <c r="AB30" s="33"/>
      <c r="AC30" s="33"/>
    </row>
    <row r="31" spans="1:29" ht="16.5" customHeight="1">
      <c r="A31" s="33"/>
      <c r="B31" s="30"/>
      <c r="C31" s="118"/>
      <c r="D31" s="533"/>
      <c r="E31" s="534"/>
      <c r="F31" s="534"/>
      <c r="G31" s="534"/>
      <c r="H31" s="550"/>
      <c r="I31" s="534"/>
      <c r="J31" s="534"/>
      <c r="K31" s="534"/>
      <c r="L31" s="535"/>
      <c r="M31" s="521"/>
      <c r="N31" s="30"/>
      <c r="O31" s="33"/>
      <c r="P31" s="33"/>
      <c r="Q31" s="33"/>
      <c r="R31" s="33"/>
      <c r="S31" s="33"/>
      <c r="T31" s="33"/>
      <c r="U31" s="33"/>
      <c r="V31" s="33"/>
      <c r="W31" s="33"/>
      <c r="X31" s="33"/>
      <c r="Y31" s="33"/>
      <c r="Z31" s="33"/>
      <c r="AA31" s="33"/>
      <c r="AB31" s="33"/>
      <c r="AC31" s="33"/>
    </row>
    <row r="32" spans="1:29" ht="20.25" customHeight="1">
      <c r="A32" s="33"/>
      <c r="B32" s="30"/>
      <c r="C32" s="118"/>
      <c r="D32" s="533"/>
      <c r="E32" s="534"/>
      <c r="F32" s="534"/>
      <c r="G32" s="558" t="s">
        <v>257</v>
      </c>
      <c r="H32" s="556">
        <f>SUM('TEACHER COST'!H14:H18)*L19</f>
        <v>2250</v>
      </c>
      <c r="I32" s="559" t="s">
        <v>241</v>
      </c>
      <c r="J32" s="534"/>
      <c r="K32" s="534"/>
      <c r="L32" s="535"/>
      <c r="M32" s="521"/>
      <c r="N32" s="30"/>
      <c r="O32" s="33"/>
      <c r="P32" s="33"/>
      <c r="Q32" s="33"/>
      <c r="R32" s="33"/>
      <c r="S32" s="33"/>
      <c r="T32" s="33"/>
      <c r="U32" s="33"/>
      <c r="V32" s="33"/>
      <c r="W32" s="33"/>
      <c r="X32" s="33"/>
      <c r="Y32" s="33"/>
      <c r="Z32" s="33"/>
      <c r="AA32" s="33"/>
      <c r="AB32" s="33"/>
      <c r="AC32" s="33"/>
    </row>
    <row r="33" spans="1:29" ht="16.5" customHeight="1">
      <c r="A33" s="33"/>
      <c r="B33" s="30"/>
      <c r="C33" s="118"/>
      <c r="D33" s="533"/>
      <c r="E33" s="534"/>
      <c r="F33" s="534"/>
      <c r="G33" s="550"/>
      <c r="H33" s="534"/>
      <c r="I33" s="534"/>
      <c r="J33" s="534"/>
      <c r="K33" s="534"/>
      <c r="L33" s="535"/>
      <c r="M33" s="521"/>
      <c r="N33" s="30"/>
      <c r="O33" s="33"/>
      <c r="P33" s="33"/>
      <c r="Q33" s="33"/>
      <c r="R33" s="33"/>
      <c r="S33" s="33"/>
      <c r="T33" s="33"/>
      <c r="U33" s="33"/>
      <c r="V33" s="33"/>
      <c r="W33" s="33"/>
      <c r="X33" s="33"/>
      <c r="Y33" s="33"/>
      <c r="Z33" s="33"/>
      <c r="AA33" s="33"/>
      <c r="AB33" s="33"/>
      <c r="AC33" s="33"/>
    </row>
    <row r="34" spans="1:29" ht="20.25" customHeight="1">
      <c r="A34" s="33"/>
      <c r="B34" s="30"/>
      <c r="C34" s="118"/>
      <c r="D34" s="533"/>
      <c r="E34" s="534"/>
      <c r="F34" s="534"/>
      <c r="G34" s="558" t="s">
        <v>239</v>
      </c>
      <c r="H34" s="556">
        <f>SUM('TEACHER COST'!I14:I18)</f>
        <v>0</v>
      </c>
      <c r="I34" s="559" t="s">
        <v>241</v>
      </c>
      <c r="J34" s="534"/>
      <c r="K34" s="534"/>
      <c r="L34" s="535"/>
      <c r="M34" s="521"/>
      <c r="N34" s="30"/>
      <c r="O34" s="33"/>
      <c r="P34" s="33"/>
      <c r="Q34" s="33"/>
      <c r="R34" s="33"/>
      <c r="S34" s="33"/>
      <c r="T34" s="33"/>
      <c r="U34" s="33"/>
      <c r="V34" s="33"/>
      <c r="W34" s="33"/>
      <c r="X34" s="33"/>
      <c r="Y34" s="33"/>
      <c r="Z34" s="33"/>
      <c r="AA34" s="33"/>
      <c r="AB34" s="33"/>
      <c r="AC34" s="33"/>
    </row>
    <row r="35" spans="1:29" ht="20.25" customHeight="1">
      <c r="A35" s="33"/>
      <c r="B35" s="30"/>
      <c r="C35" s="118"/>
      <c r="D35" s="533"/>
      <c r="E35" s="534"/>
      <c r="F35" s="534"/>
      <c r="G35" s="534"/>
      <c r="H35" s="534"/>
      <c r="I35" s="534"/>
      <c r="J35" s="534"/>
      <c r="K35" s="534"/>
      <c r="L35" s="535"/>
      <c r="M35" s="521"/>
      <c r="N35" s="30"/>
      <c r="O35" s="33"/>
      <c r="P35" s="33"/>
      <c r="Q35" s="33"/>
      <c r="R35" s="33"/>
      <c r="S35" s="33"/>
      <c r="T35" s="33"/>
      <c r="U35" s="33"/>
      <c r="V35" s="33"/>
      <c r="W35" s="33"/>
      <c r="X35" s="33"/>
      <c r="Y35" s="33"/>
      <c r="Z35" s="33"/>
      <c r="AA35" s="33"/>
      <c r="AB35" s="33"/>
      <c r="AC35" s="33"/>
    </row>
    <row r="36" spans="1:29" ht="20.25" customHeight="1" thickBot="1">
      <c r="A36" s="33"/>
      <c r="B36" s="30"/>
      <c r="C36" s="118"/>
      <c r="D36" s="533"/>
      <c r="E36" s="534"/>
      <c r="F36" s="534"/>
      <c r="G36" s="558" t="s">
        <v>240</v>
      </c>
      <c r="H36" s="557">
        <f>SUM('TEACHER COST'!P14:P18)</f>
        <v>36351</v>
      </c>
      <c r="I36" s="534"/>
      <c r="J36" s="534"/>
      <c r="K36" s="534"/>
      <c r="L36" s="535"/>
      <c r="M36" s="521"/>
      <c r="N36" s="30"/>
      <c r="O36" s="33"/>
      <c r="P36" s="33"/>
      <c r="Q36" s="33"/>
      <c r="R36" s="33"/>
      <c r="S36" s="33"/>
      <c r="T36" s="33"/>
      <c r="U36" s="33"/>
      <c r="V36" s="33"/>
      <c r="W36" s="33"/>
      <c r="X36" s="33"/>
      <c r="Y36" s="33"/>
      <c r="Z36" s="33"/>
      <c r="AA36" s="33"/>
      <c r="AB36" s="33"/>
      <c r="AC36" s="33"/>
    </row>
    <row r="37" spans="1:29" ht="12" customHeight="1">
      <c r="A37" s="33"/>
      <c r="B37" s="30"/>
      <c r="C37" s="118"/>
      <c r="D37" s="533"/>
      <c r="E37" s="534"/>
      <c r="F37" s="534"/>
      <c r="G37" s="550"/>
      <c r="H37" s="553"/>
      <c r="I37" s="534"/>
      <c r="J37" s="534"/>
      <c r="K37" s="534"/>
      <c r="L37" s="535"/>
      <c r="M37" s="521"/>
      <c r="N37" s="30"/>
      <c r="O37" s="33"/>
      <c r="P37" s="33"/>
      <c r="Q37" s="33"/>
      <c r="R37" s="33"/>
      <c r="S37" s="33"/>
      <c r="T37" s="33"/>
      <c r="U37" s="33"/>
      <c r="V37" s="33"/>
      <c r="W37" s="33"/>
      <c r="X37" s="33"/>
      <c r="Y37" s="33"/>
      <c r="Z37" s="33"/>
      <c r="AA37" s="33"/>
      <c r="AB37" s="33"/>
      <c r="AC37" s="33"/>
    </row>
    <row r="38" spans="1:29" ht="20.25" customHeight="1">
      <c r="A38" s="33"/>
      <c r="B38" s="30"/>
      <c r="C38" s="118"/>
      <c r="D38" s="533"/>
      <c r="E38" s="534"/>
      <c r="F38" s="534"/>
      <c r="G38" s="550"/>
      <c r="H38" s="554">
        <f>IF(H36=SUM(H29:H35),"","CALCULATION ERROR.  CHECK FORMULA.")</f>
      </c>
      <c r="I38" s="534"/>
      <c r="J38" s="534"/>
      <c r="K38" s="534"/>
      <c r="L38" s="535"/>
      <c r="M38" s="521"/>
      <c r="N38" s="30"/>
      <c r="O38" s="33"/>
      <c r="P38" s="33"/>
      <c r="Q38" s="33"/>
      <c r="R38" s="33"/>
      <c r="S38" s="33"/>
      <c r="T38" s="33"/>
      <c r="U38" s="33"/>
      <c r="V38" s="33"/>
      <c r="W38" s="33"/>
      <c r="X38" s="33"/>
      <c r="Y38" s="33"/>
      <c r="Z38" s="33"/>
      <c r="AA38" s="33"/>
      <c r="AB38" s="33"/>
      <c r="AC38" s="33"/>
    </row>
    <row r="39" spans="1:29" ht="12" customHeight="1">
      <c r="A39" s="33"/>
      <c r="B39" s="30"/>
      <c r="C39" s="122"/>
      <c r="D39" s="536"/>
      <c r="E39" s="537"/>
      <c r="F39" s="537"/>
      <c r="G39" s="538"/>
      <c r="H39" s="538"/>
      <c r="I39" s="538"/>
      <c r="J39" s="538"/>
      <c r="K39" s="538"/>
      <c r="L39" s="539"/>
      <c r="M39" s="521"/>
      <c r="N39" s="30"/>
      <c r="O39" s="33"/>
      <c r="P39" s="33"/>
      <c r="Q39" s="33"/>
      <c r="R39" s="33"/>
      <c r="S39" s="33"/>
      <c r="T39" s="33"/>
      <c r="U39" s="33"/>
      <c r="V39" s="33"/>
      <c r="W39" s="33"/>
      <c r="X39" s="33"/>
      <c r="Y39" s="33"/>
      <c r="Z39" s="33"/>
      <c r="AA39" s="33"/>
      <c r="AB39" s="33"/>
      <c r="AC39" s="33"/>
    </row>
    <row r="40" spans="1:29" ht="21" customHeight="1">
      <c r="A40" s="33"/>
      <c r="B40" s="30"/>
      <c r="C40" s="122"/>
      <c r="D40" s="123"/>
      <c r="E40" s="123"/>
      <c r="F40" s="123"/>
      <c r="G40" s="123"/>
      <c r="H40" s="123"/>
      <c r="I40" s="123"/>
      <c r="J40" s="123"/>
      <c r="K40" s="123"/>
      <c r="L40" s="123"/>
      <c r="M40" s="521"/>
      <c r="N40" s="30"/>
      <c r="O40" s="33"/>
      <c r="P40" s="33"/>
      <c r="Q40" s="33"/>
      <c r="R40" s="33"/>
      <c r="S40" s="33"/>
      <c r="T40" s="33"/>
      <c r="U40" s="33"/>
      <c r="V40" s="33"/>
      <c r="W40" s="33"/>
      <c r="X40" s="33"/>
      <c r="Y40" s="33"/>
      <c r="Z40" s="33"/>
      <c r="AA40" s="33"/>
      <c r="AB40" s="33"/>
      <c r="AC40" s="33"/>
    </row>
    <row r="41" spans="1:29" ht="17.25" customHeight="1">
      <c r="A41" s="33"/>
      <c r="B41" s="30"/>
      <c r="C41" s="122"/>
      <c r="D41" s="562" t="s">
        <v>234</v>
      </c>
      <c r="E41" s="123"/>
      <c r="F41" s="123"/>
      <c r="G41" s="123"/>
      <c r="H41" s="123"/>
      <c r="I41" s="123"/>
      <c r="J41" s="123"/>
      <c r="K41" s="123"/>
      <c r="L41" s="123"/>
      <c r="M41" s="521"/>
      <c r="N41" s="30"/>
      <c r="O41" s="33"/>
      <c r="P41" s="33"/>
      <c r="Q41" s="33"/>
      <c r="R41" s="33"/>
      <c r="S41" s="33"/>
      <c r="T41" s="33"/>
      <c r="U41" s="33"/>
      <c r="V41" s="33"/>
      <c r="W41" s="33"/>
      <c r="X41" s="33"/>
      <c r="Y41" s="33"/>
      <c r="Z41" s="33"/>
      <c r="AA41" s="33"/>
      <c r="AB41" s="33"/>
      <c r="AC41" s="33"/>
    </row>
    <row r="42" spans="1:29" ht="17.25" customHeight="1">
      <c r="A42" s="33"/>
      <c r="B42" s="30"/>
      <c r="C42" s="122"/>
      <c r="D42" s="123"/>
      <c r="E42" s="123"/>
      <c r="F42" s="123"/>
      <c r="G42" s="123"/>
      <c r="H42" s="123"/>
      <c r="I42" s="123"/>
      <c r="J42" s="123"/>
      <c r="K42" s="123"/>
      <c r="L42" s="123"/>
      <c r="M42" s="521"/>
      <c r="N42" s="30"/>
      <c r="O42" s="33"/>
      <c r="P42" s="33"/>
      <c r="Q42" s="33"/>
      <c r="R42" s="33"/>
      <c r="S42" s="33"/>
      <c r="T42" s="33"/>
      <c r="U42" s="33"/>
      <c r="V42" s="33"/>
      <c r="W42" s="33"/>
      <c r="X42" s="33"/>
      <c r="Y42" s="33"/>
      <c r="Z42" s="33"/>
      <c r="AA42" s="33"/>
      <c r="AB42" s="33"/>
      <c r="AC42" s="33"/>
    </row>
    <row r="43" spans="1:29" ht="18">
      <c r="A43" s="33"/>
      <c r="B43" s="30"/>
      <c r="C43" s="118"/>
      <c r="D43" s="123"/>
      <c r="E43" s="124"/>
      <c r="F43" s="124"/>
      <c r="G43" s="124"/>
      <c r="H43" s="518"/>
      <c r="I43" s="518"/>
      <c r="J43" s="516"/>
      <c r="K43" s="518"/>
      <c r="L43" s="518"/>
      <c r="M43" s="521"/>
      <c r="N43" s="30"/>
      <c r="O43" s="33"/>
      <c r="P43" s="33"/>
      <c r="Q43" s="33"/>
      <c r="R43" s="33"/>
      <c r="S43" s="33"/>
      <c r="T43" s="33"/>
      <c r="U43" s="33"/>
      <c r="V43" s="33"/>
      <c r="W43" s="33"/>
      <c r="X43" s="33"/>
      <c r="Y43" s="33"/>
      <c r="Z43" s="33"/>
      <c r="AA43" s="33"/>
      <c r="AB43" s="33"/>
      <c r="AC43" s="33"/>
    </row>
    <row r="44" spans="1:29" ht="18">
      <c r="A44" s="33"/>
      <c r="B44" s="30"/>
      <c r="C44" s="118"/>
      <c r="D44" s="541" t="s">
        <v>229</v>
      </c>
      <c r="E44" s="1106"/>
      <c r="F44" s="1107"/>
      <c r="G44" s="1107"/>
      <c r="H44" s="1107"/>
      <c r="I44" s="1107"/>
      <c r="J44" s="1107"/>
      <c r="K44" s="1107"/>
      <c r="L44" s="1108"/>
      <c r="M44" s="521"/>
      <c r="N44" s="30"/>
      <c r="O44" s="33"/>
      <c r="P44" s="33"/>
      <c r="Q44" s="33"/>
      <c r="R44" s="33"/>
      <c r="S44" s="33"/>
      <c r="T44" s="33"/>
      <c r="U44" s="33"/>
      <c r="V44" s="33"/>
      <c r="W44" s="33"/>
      <c r="X44" s="33"/>
      <c r="Y44" s="33"/>
      <c r="Z44" s="33"/>
      <c r="AA44" s="33"/>
      <c r="AB44" s="33"/>
      <c r="AC44" s="33"/>
    </row>
    <row r="45" spans="1:29" ht="18">
      <c r="A45" s="33"/>
      <c r="B45" s="30"/>
      <c r="C45" s="118"/>
      <c r="D45" s="549"/>
      <c r="E45" s="1109"/>
      <c r="F45" s="1110"/>
      <c r="G45" s="1110"/>
      <c r="H45" s="1110"/>
      <c r="I45" s="1110"/>
      <c r="J45" s="1110"/>
      <c r="K45" s="1110"/>
      <c r="L45" s="1111"/>
      <c r="M45" s="521"/>
      <c r="N45" s="30"/>
      <c r="O45" s="33"/>
      <c r="P45" s="33"/>
      <c r="Q45" s="33"/>
      <c r="R45" s="33"/>
      <c r="S45" s="33"/>
      <c r="T45" s="33"/>
      <c r="U45" s="33"/>
      <c r="V45" s="33"/>
      <c r="W45" s="33"/>
      <c r="X45" s="33"/>
      <c r="Y45" s="33"/>
      <c r="Z45" s="33"/>
      <c r="AA45" s="33"/>
      <c r="AB45" s="33"/>
      <c r="AC45" s="33"/>
    </row>
    <row r="46" spans="1:29" ht="18">
      <c r="A46" s="33"/>
      <c r="B46" s="30"/>
      <c r="C46" s="118"/>
      <c r="D46" s="542"/>
      <c r="E46" s="1112"/>
      <c r="F46" s="1113"/>
      <c r="G46" s="1113"/>
      <c r="H46" s="1113"/>
      <c r="I46" s="1113"/>
      <c r="J46" s="1113"/>
      <c r="K46" s="1113"/>
      <c r="L46" s="1114"/>
      <c r="M46" s="521"/>
      <c r="N46" s="30"/>
      <c r="O46" s="33"/>
      <c r="P46" s="33"/>
      <c r="Q46" s="33"/>
      <c r="R46" s="33"/>
      <c r="S46" s="33"/>
      <c r="T46" s="33"/>
      <c r="U46" s="33"/>
      <c r="V46" s="33"/>
      <c r="W46" s="33"/>
      <c r="X46" s="33"/>
      <c r="Y46" s="33"/>
      <c r="Z46" s="33"/>
      <c r="AA46" s="33"/>
      <c r="AB46" s="33"/>
      <c r="AC46" s="33"/>
    </row>
    <row r="47" spans="1:29" ht="18">
      <c r="A47" s="33"/>
      <c r="B47" s="30"/>
      <c r="C47" s="118"/>
      <c r="D47" s="123"/>
      <c r="E47" s="123"/>
      <c r="F47" s="123"/>
      <c r="G47" s="123"/>
      <c r="H47" s="123"/>
      <c r="I47" s="123"/>
      <c r="J47" s="123"/>
      <c r="K47" s="123"/>
      <c r="L47" s="123"/>
      <c r="M47" s="521"/>
      <c r="N47" s="30"/>
      <c r="O47" s="33"/>
      <c r="P47" s="33"/>
      <c r="Q47" s="33"/>
      <c r="R47" s="33"/>
      <c r="S47" s="33"/>
      <c r="T47" s="33"/>
      <c r="U47" s="33"/>
      <c r="V47" s="33"/>
      <c r="W47" s="33"/>
      <c r="X47" s="33"/>
      <c r="Y47" s="33"/>
      <c r="Z47" s="33"/>
      <c r="AA47" s="33"/>
      <c r="AB47" s="33"/>
      <c r="AC47" s="33"/>
    </row>
    <row r="48" spans="1:29" ht="18">
      <c r="A48" s="33"/>
      <c r="B48" s="30"/>
      <c r="C48" s="118"/>
      <c r="D48" s="123"/>
      <c r="E48" s="124"/>
      <c r="F48" s="124"/>
      <c r="G48" s="124"/>
      <c r="H48" s="518"/>
      <c r="I48" s="518"/>
      <c r="J48" s="516"/>
      <c r="K48" s="518"/>
      <c r="L48" s="518"/>
      <c r="M48" s="521"/>
      <c r="N48" s="30"/>
      <c r="O48" s="33"/>
      <c r="P48" s="33"/>
      <c r="Q48" s="33"/>
      <c r="R48" s="33"/>
      <c r="S48" s="33"/>
      <c r="T48" s="33"/>
      <c r="U48" s="33"/>
      <c r="V48" s="33"/>
      <c r="W48" s="33"/>
      <c r="X48" s="33"/>
      <c r="Y48" s="33"/>
      <c r="Z48" s="33"/>
      <c r="AA48" s="33"/>
      <c r="AB48" s="33"/>
      <c r="AC48" s="33"/>
    </row>
    <row r="49" spans="1:29" ht="18">
      <c r="A49" s="33"/>
      <c r="B49" s="30"/>
      <c r="C49" s="118"/>
      <c r="D49" s="581" t="s">
        <v>230</v>
      </c>
      <c r="E49" s="737"/>
      <c r="F49" s="738"/>
      <c r="G49" s="543"/>
      <c r="H49" s="544"/>
      <c r="I49" s="520" t="s">
        <v>231</v>
      </c>
      <c r="J49" s="611"/>
      <c r="K49" s="529"/>
      <c r="L49" s="529"/>
      <c r="M49" s="521"/>
      <c r="N49" s="30"/>
      <c r="O49" s="33"/>
      <c r="P49" s="33"/>
      <c r="Q49" s="33"/>
      <c r="R49" s="33"/>
      <c r="S49" s="33"/>
      <c r="T49" s="33"/>
      <c r="U49" s="33"/>
      <c r="V49" s="33"/>
      <c r="W49" s="33"/>
      <c r="X49" s="33"/>
      <c r="Y49" s="33"/>
      <c r="Z49" s="33"/>
      <c r="AA49" s="33"/>
      <c r="AB49" s="33"/>
      <c r="AC49" s="33"/>
    </row>
    <row r="50" spans="1:29" ht="30" customHeight="1">
      <c r="A50" s="33"/>
      <c r="B50" s="30"/>
      <c r="C50" s="118"/>
      <c r="D50" s="544"/>
      <c r="E50" s="544"/>
      <c r="F50" s="544"/>
      <c r="G50" s="544"/>
      <c r="H50" s="544"/>
      <c r="I50" s="544"/>
      <c r="J50" s="544"/>
      <c r="K50" s="544"/>
      <c r="L50" s="544"/>
      <c r="M50" s="521"/>
      <c r="N50" s="30"/>
      <c r="O50" s="33"/>
      <c r="P50" s="33"/>
      <c r="Q50" s="33"/>
      <c r="R50" s="33"/>
      <c r="S50" s="33"/>
      <c r="T50" s="33"/>
      <c r="U50" s="33"/>
      <c r="V50" s="33"/>
      <c r="W50" s="33"/>
      <c r="X50" s="33"/>
      <c r="Y50" s="33"/>
      <c r="Z50" s="33"/>
      <c r="AA50" s="33"/>
      <c r="AB50" s="33"/>
      <c r="AC50" s="33"/>
    </row>
    <row r="51" spans="1:29" ht="18">
      <c r="A51" s="33"/>
      <c r="B51" s="30"/>
      <c r="C51" s="118"/>
      <c r="D51" s="519"/>
      <c r="E51" s="612"/>
      <c r="F51" s="612"/>
      <c r="G51" s="612"/>
      <c r="H51" s="544"/>
      <c r="I51" s="519" t="s">
        <v>232</v>
      </c>
      <c r="J51" s="548">
        <f ca="1">NOW()</f>
        <v>38661.583044328705</v>
      </c>
      <c r="L51" s="544"/>
      <c r="M51" s="521"/>
      <c r="N51" s="30"/>
      <c r="O51" s="33"/>
      <c r="P51" s="33"/>
      <c r="Q51" s="33"/>
      <c r="R51" s="33"/>
      <c r="S51" s="33"/>
      <c r="T51" s="33"/>
      <c r="U51" s="33"/>
      <c r="V51" s="33"/>
      <c r="W51" s="33"/>
      <c r="X51" s="33"/>
      <c r="Y51" s="33"/>
      <c r="Z51" s="33"/>
      <c r="AA51" s="33"/>
      <c r="AB51" s="33"/>
      <c r="AC51" s="33"/>
    </row>
    <row r="52" spans="1:29" ht="30" customHeight="1">
      <c r="A52" s="33"/>
      <c r="B52" s="30"/>
      <c r="C52" s="118"/>
      <c r="D52" s="544"/>
      <c r="E52" s="544"/>
      <c r="F52" s="544"/>
      <c r="G52" s="544"/>
      <c r="H52" s="544"/>
      <c r="I52" s="544"/>
      <c r="J52" s="544"/>
      <c r="K52" s="544"/>
      <c r="L52" s="544"/>
      <c r="M52" s="521"/>
      <c r="N52" s="30"/>
      <c r="O52" s="33"/>
      <c r="P52" s="33"/>
      <c r="Q52" s="33"/>
      <c r="R52" s="33"/>
      <c r="S52" s="33"/>
      <c r="T52" s="33"/>
      <c r="U52" s="33"/>
      <c r="V52" s="33"/>
      <c r="W52" s="33"/>
      <c r="X52" s="33"/>
      <c r="Y52" s="33"/>
      <c r="Z52" s="33"/>
      <c r="AA52" s="33"/>
      <c r="AB52" s="33"/>
      <c r="AC52" s="33"/>
    </row>
    <row r="53" spans="1:29" ht="18">
      <c r="A53" s="33"/>
      <c r="B53" s="30"/>
      <c r="C53" s="118"/>
      <c r="D53" s="545"/>
      <c r="E53" s="545"/>
      <c r="H53" s="519" t="s">
        <v>233</v>
      </c>
      <c r="I53" s="582" t="str">
        <f>$H$7</f>
        <v>SELECT SCHOOL NAME FROM LIST</v>
      </c>
      <c r="J53" s="546"/>
      <c r="K53" s="547"/>
      <c r="L53" s="544"/>
      <c r="M53" s="521"/>
      <c r="N53" s="30"/>
      <c r="O53" s="33"/>
      <c r="P53" s="33"/>
      <c r="Q53" s="33"/>
      <c r="R53" s="33"/>
      <c r="S53" s="33"/>
      <c r="T53" s="33"/>
      <c r="U53" s="33"/>
      <c r="V53" s="33"/>
      <c r="W53" s="33"/>
      <c r="X53" s="33"/>
      <c r="Y53" s="33"/>
      <c r="Z53" s="33"/>
      <c r="AA53" s="33"/>
      <c r="AB53" s="33"/>
      <c r="AC53" s="33"/>
    </row>
    <row r="54" spans="1:29" ht="18.75" thickBot="1">
      <c r="A54" s="33"/>
      <c r="B54" s="30"/>
      <c r="C54" s="522"/>
      <c r="D54" s="523"/>
      <c r="E54" s="524"/>
      <c r="F54" s="524"/>
      <c r="G54" s="524"/>
      <c r="H54" s="524"/>
      <c r="I54" s="524"/>
      <c r="J54" s="524"/>
      <c r="K54" s="524"/>
      <c r="L54" s="524"/>
      <c r="M54" s="525"/>
      <c r="N54" s="32"/>
      <c r="O54" s="33"/>
      <c r="P54" s="33"/>
      <c r="Q54" s="33"/>
      <c r="R54" s="33"/>
      <c r="S54" s="33"/>
      <c r="T54" s="33"/>
      <c r="U54" s="33"/>
      <c r="V54" s="33"/>
      <c r="W54" s="33"/>
      <c r="X54" s="33"/>
      <c r="Y54" s="33"/>
      <c r="Z54" s="33"/>
      <c r="AA54" s="33"/>
      <c r="AB54" s="33"/>
      <c r="AC54" s="33"/>
    </row>
    <row r="55" spans="1:29" ht="4.5" customHeight="1">
      <c r="A55" s="33"/>
      <c r="B55" s="30"/>
      <c r="C55" s="513"/>
      <c r="D55" s="30"/>
      <c r="E55" s="30"/>
      <c r="F55" s="30"/>
      <c r="G55" s="30"/>
      <c r="H55" s="30"/>
      <c r="I55" s="30"/>
      <c r="J55" s="30"/>
      <c r="K55" s="30"/>
      <c r="L55" s="30"/>
      <c r="M55" s="30"/>
      <c r="N55" s="30"/>
      <c r="O55" s="33"/>
      <c r="P55" s="33"/>
      <c r="Q55" s="33"/>
      <c r="R55" s="33"/>
      <c r="S55" s="33"/>
      <c r="T55" s="33"/>
      <c r="U55" s="33"/>
      <c r="V55" s="33"/>
      <c r="W55" s="33"/>
      <c r="X55" s="33"/>
      <c r="Y55" s="33"/>
      <c r="Z55" s="33"/>
      <c r="AA55" s="33"/>
      <c r="AB55" s="33"/>
      <c r="AC55" s="33"/>
    </row>
    <row r="56" spans="1:29" ht="1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row>
    <row r="57" spans="1:29" ht="1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row>
    <row r="58" spans="1:29" ht="1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row>
    <row r="59" spans="1:29" ht="1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row>
    <row r="60" spans="1:29" ht="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row>
    <row r="61" spans="1:29" ht="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row>
    <row r="62" spans="1:29" ht="1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row>
    <row r="63" spans="1:29" ht="1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row>
    <row r="64" spans="1:29" ht="1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row>
    <row r="65" spans="1:29" ht="1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row>
    <row r="66" spans="1:29" ht="1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row>
    <row r="67" spans="1:29" ht="1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row>
    <row r="68" spans="1:29" ht="1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row>
    <row r="69" spans="1:29" ht="1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row>
    <row r="70" spans="1:29" ht="1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row>
    <row r="71" spans="1:29" ht="1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row>
    <row r="72" spans="1:29" ht="1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row>
    <row r="73" spans="1:29" ht="1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row>
    <row r="74" spans="1:29" ht="1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row>
    <row r="75" spans="1:29" ht="1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row>
    <row r="76" spans="1:29" ht="1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row>
    <row r="77" spans="1:29" ht="1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row>
    <row r="78" spans="1:29" ht="1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row>
    <row r="79" spans="1:29" ht="1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row>
    <row r="80" spans="1:29" ht="1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row>
    <row r="81" spans="1:29" ht="1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row>
    <row r="82" spans="1:29" ht="1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row>
    <row r="83" spans="1:29" ht="1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row>
    <row r="84" spans="1:29" ht="1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row>
    <row r="85" spans="1:29" ht="1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row>
    <row r="86" spans="1:29" ht="1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row>
    <row r="87" spans="1:29" ht="1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row>
    <row r="88" spans="1:29" ht="1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row>
    <row r="89" spans="1:29" ht="1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row>
    <row r="90" spans="1:29" ht="1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row>
    <row r="91" spans="1:29" ht="1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row>
    <row r="92" spans="1:29" ht="1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row>
    <row r="93" spans="1:29" ht="1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row>
    <row r="94" spans="1:29" ht="1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row>
    <row r="95" spans="1:29" ht="1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row>
  </sheetData>
  <sheetProtection password="DD49" sheet="1" objects="1" scenarios="1"/>
  <mergeCells count="6">
    <mergeCell ref="C1:D1"/>
    <mergeCell ref="I1:M1"/>
    <mergeCell ref="E44:L46"/>
    <mergeCell ref="J13:L13"/>
    <mergeCell ref="E13:G13"/>
    <mergeCell ref="F5:J5"/>
  </mergeCells>
  <dataValidations count="8">
    <dataValidation type="custom" allowBlank="1" showInputMessage="1" showErrorMessage="1" errorTitle="FIXED SYMBOL" sqref="C3">
      <formula1>"NO CHANGE REQUIRED"</formula1>
    </dataValidation>
    <dataValidation type="custom" allowBlank="1" showInputMessage="1" showErrorMessage="1" errorTitle="COPYRIGHT PROTECTION!" error="&#10;Tampering with this cell puts you in breach of copyright laws.&#10;&#10;Click 'Cancel' to end." sqref="N54">
      <formula1>"COPYRIGHT PROTECTION"</formula1>
    </dataValidation>
    <dataValidation allowBlank="1" showInputMessage="1" showErrorMessage="1" promptTitle="ENTRY FIELD" prompt="&#10;Make an appropriate entry in this cell as per the title to the left." sqref="E13 J13"/>
    <dataValidation type="custom" allowBlank="1" showInputMessage="1" showErrorMessage="1" sqref="H53 I51:J51">
      <formula1>"NO CHANGE ADVISED"</formula1>
    </dataValidation>
    <dataValidation allowBlank="1" showInputMessage="1" showErrorMessage="1" promptTitle="ENTRY FIELD" prompt="&#10;Overtype this cell with the name of your Local Education Authority." sqref="F5:J5"/>
    <dataValidation type="custom" allowBlank="1" showInputMessage="1" showErrorMessage="1" sqref="H7">
      <formula1>"NO CHANGE"</formula1>
    </dataValidation>
    <dataValidation allowBlank="1" showInputMessage="1" showErrorMessage="1" promptTitle="REFER TO 'TERMS OF USE' PAGE " prompt="&#10;The organisation name should be entered on the 'Terms of Use page." sqref="I53"/>
    <dataValidation allowBlank="1" showInputMessage="1" showErrorMessage="1" promptTitle="ENTRY FIELD" prompt="&#10;The person preparing this statement should enter their name here for reference." sqref="E49"/>
  </dataValidations>
  <hyperlinks>
    <hyperlink ref="I1:M1" location="'TEACHER COST'!A1" tooltip="To Teaching Staff salary costing sheet" display="COST TEACHING STAFF SALARY"/>
    <hyperlink ref="F1" location="INDEX!A1" tooltip="Go to Index" display="INDEX"/>
  </hyperlinks>
  <printOptions/>
  <pageMargins left="0.35433070866141736" right="0.15748031496062992" top="0.3937007874015748" bottom="0.7874015748031497" header="0.5118110236220472" footer="0.5118110236220472"/>
  <pageSetup blackAndWhite="1" fitToHeight="1" fitToWidth="1"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AC95"/>
  <sheetViews>
    <sheetView showGridLines="0" showRowColHeaders="0" zoomScale="75" zoomScaleNormal="75" workbookViewId="0" topLeftCell="A1">
      <pane ySplit="1" topLeftCell="BM2" activePane="bottomLeft" state="frozen"/>
      <selection pane="topLeft" activeCell="K12" sqref="K12:L12"/>
      <selection pane="bottomLeft" activeCell="F1" sqref="F1"/>
    </sheetView>
  </sheetViews>
  <sheetFormatPr defaultColWidth="8.88671875" defaultRowHeight="0" customHeight="1" zeroHeight="1"/>
  <cols>
    <col min="1" max="1" width="1.77734375" style="9" customWidth="1"/>
    <col min="2" max="2" width="0.78125" style="9" customWidth="1"/>
    <col min="3" max="3" width="4.6640625" style="9" customWidth="1"/>
    <col min="4" max="5" width="10.77734375" style="9" customWidth="1"/>
    <col min="6" max="6" width="12.6640625" style="9" customWidth="1"/>
    <col min="7" max="7" width="12.5546875" style="9" customWidth="1"/>
    <col min="8" max="8" width="13.10546875" style="9" customWidth="1"/>
    <col min="9" max="9" width="10.77734375" style="9" customWidth="1"/>
    <col min="10" max="10" width="11.21484375" style="9" customWidth="1"/>
    <col min="11" max="11" width="12.6640625" style="9" customWidth="1"/>
    <col min="12" max="12" width="10.77734375" style="9" customWidth="1"/>
    <col min="13" max="13" width="4.77734375" style="9" customWidth="1"/>
    <col min="14" max="14" width="0.671875" style="9" customWidth="1"/>
    <col min="15" max="15" width="2.77734375" style="9" customWidth="1"/>
    <col min="16" max="16" width="2.88671875" style="9" customWidth="1"/>
    <col min="17" max="17" width="2.77734375" style="9" customWidth="1"/>
    <col min="18" max="18" width="8.77734375" style="9" customWidth="1"/>
    <col min="19" max="19" width="16.6640625" style="9" customWidth="1"/>
    <col min="20" max="21" width="8.77734375" style="9" customWidth="1"/>
    <col min="22" max="22" width="2.77734375" style="9" customWidth="1"/>
    <col min="23" max="29" width="8.88671875" style="9" customWidth="1"/>
    <col min="30" max="16384" width="0" style="9" hidden="1" customWidth="1"/>
  </cols>
  <sheetData>
    <row r="1" spans="1:29" ht="30" customHeight="1">
      <c r="A1" s="33"/>
      <c r="B1" s="33"/>
      <c r="C1" s="1104"/>
      <c r="D1" s="1104"/>
      <c r="E1" s="33"/>
      <c r="F1" s="583" t="s">
        <v>244</v>
      </c>
      <c r="G1" s="33"/>
      <c r="H1" s="572"/>
      <c r="I1" s="1103" t="s">
        <v>259</v>
      </c>
      <c r="J1" s="1119"/>
      <c r="K1" s="1119"/>
      <c r="L1" s="1119"/>
      <c r="M1" s="1119"/>
      <c r="N1" s="33"/>
      <c r="O1" s="33"/>
      <c r="P1" s="33"/>
      <c r="Q1" s="33"/>
      <c r="R1" s="33"/>
      <c r="S1" s="33"/>
      <c r="T1" s="33"/>
      <c r="U1" s="33"/>
      <c r="V1" s="33"/>
      <c r="W1" s="33"/>
      <c r="X1" s="33"/>
      <c r="Y1" s="33"/>
      <c r="Z1" s="33"/>
      <c r="AA1" s="33"/>
      <c r="AB1" s="33"/>
      <c r="AC1" s="33"/>
    </row>
    <row r="2" spans="1:29" ht="24"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row>
    <row r="3" spans="1:29" ht="4.5" customHeight="1" thickBot="1">
      <c r="A3" s="33"/>
      <c r="B3" s="30"/>
      <c r="C3" s="31"/>
      <c r="D3" s="30"/>
      <c r="E3" s="30"/>
      <c r="F3" s="30"/>
      <c r="G3" s="30"/>
      <c r="H3" s="30"/>
      <c r="I3" s="30"/>
      <c r="J3" s="30"/>
      <c r="K3" s="30"/>
      <c r="L3" s="30"/>
      <c r="M3" s="30"/>
      <c r="N3" s="30"/>
      <c r="O3" s="33"/>
      <c r="P3" s="33"/>
      <c r="Q3" s="33"/>
      <c r="R3" s="33"/>
      <c r="S3" s="33"/>
      <c r="T3" s="33"/>
      <c r="U3" s="33"/>
      <c r="V3" s="33"/>
      <c r="W3" s="33"/>
      <c r="X3" s="33"/>
      <c r="Y3" s="33"/>
      <c r="Z3" s="33"/>
      <c r="AA3" s="33"/>
      <c r="AB3" s="33"/>
      <c r="AC3" s="33"/>
    </row>
    <row r="4" spans="1:29" ht="11.25" customHeight="1">
      <c r="A4" s="33"/>
      <c r="B4" s="30"/>
      <c r="C4" s="512"/>
      <c r="D4" s="110"/>
      <c r="E4" s="110"/>
      <c r="F4" s="110"/>
      <c r="G4" s="110"/>
      <c r="H4" s="110"/>
      <c r="I4" s="110"/>
      <c r="J4" s="110"/>
      <c r="K4" s="110"/>
      <c r="L4" s="110"/>
      <c r="M4" s="112"/>
      <c r="N4" s="30"/>
      <c r="O4" s="33"/>
      <c r="P4" s="33"/>
      <c r="Q4" s="33"/>
      <c r="R4" s="33"/>
      <c r="S4" s="33"/>
      <c r="T4" s="33"/>
      <c r="U4" s="33"/>
      <c r="V4" s="33"/>
      <c r="W4" s="33"/>
      <c r="X4" s="33"/>
      <c r="Y4" s="33"/>
      <c r="Z4" s="33"/>
      <c r="AA4" s="33"/>
      <c r="AB4" s="33"/>
      <c r="AC4" s="33"/>
    </row>
    <row r="5" spans="1:29" ht="25.5" customHeight="1">
      <c r="A5" s="33"/>
      <c r="B5" s="30"/>
      <c r="C5" s="115"/>
      <c r="D5" s="24"/>
      <c r="E5" s="24"/>
      <c r="F5" s="1117" t="str">
        <f>'Terms of Use'!H7</f>
        <v>LONDON BOROUGH OF RICHMOND UPON THAMES</v>
      </c>
      <c r="G5" s="1118"/>
      <c r="H5" s="1118"/>
      <c r="I5" s="1118"/>
      <c r="J5" s="1118"/>
      <c r="K5" s="514"/>
      <c r="L5" s="514"/>
      <c r="M5" s="114"/>
      <c r="N5" s="30"/>
      <c r="O5" s="33"/>
      <c r="P5" s="33"/>
      <c r="Q5" s="33"/>
      <c r="R5" s="33"/>
      <c r="S5" s="33"/>
      <c r="T5" s="33"/>
      <c r="U5" s="33"/>
      <c r="V5" s="33"/>
      <c r="W5" s="33"/>
      <c r="X5" s="33"/>
      <c r="Y5" s="33"/>
      <c r="Z5" s="33"/>
      <c r="AA5" s="33"/>
      <c r="AB5" s="33"/>
      <c r="AC5" s="33"/>
    </row>
    <row r="6" spans="1:29" ht="15">
      <c r="A6" s="33"/>
      <c r="B6" s="30"/>
      <c r="C6" s="113"/>
      <c r="D6" s="24"/>
      <c r="E6" s="24"/>
      <c r="F6" s="24"/>
      <c r="G6" s="24"/>
      <c r="H6" s="24"/>
      <c r="I6" s="24"/>
      <c r="J6" s="24"/>
      <c r="K6" s="24"/>
      <c r="L6" s="24"/>
      <c r="M6" s="114"/>
      <c r="N6" s="30"/>
      <c r="O6" s="33"/>
      <c r="P6" s="33"/>
      <c r="Q6" s="33"/>
      <c r="R6" s="33"/>
      <c r="S6" s="33"/>
      <c r="T6" s="33"/>
      <c r="U6" s="33"/>
      <c r="V6" s="33"/>
      <c r="W6" s="33"/>
      <c r="X6" s="33"/>
      <c r="Y6" s="33"/>
      <c r="Z6" s="33"/>
      <c r="AA6" s="33"/>
      <c r="AB6" s="33"/>
      <c r="AC6" s="33"/>
    </row>
    <row r="7" spans="1:29" ht="25.5" customHeight="1">
      <c r="A7" s="33"/>
      <c r="B7" s="30"/>
      <c r="C7" s="113"/>
      <c r="D7" s="24"/>
      <c r="E7" s="24"/>
      <c r="F7" s="24"/>
      <c r="G7" s="24"/>
      <c r="H7" s="571" t="str">
        <f>'Terms of Use'!H31</f>
        <v>SELECT SCHOOL NAME FROM LIST</v>
      </c>
      <c r="I7" s="24"/>
      <c r="J7" s="24"/>
      <c r="K7" s="24"/>
      <c r="L7" s="24"/>
      <c r="M7" s="114"/>
      <c r="N7" s="30"/>
      <c r="O7" s="33"/>
      <c r="P7" s="33"/>
      <c r="Q7" s="33"/>
      <c r="R7" s="33"/>
      <c r="S7" s="33"/>
      <c r="T7" s="33"/>
      <c r="U7" s="33"/>
      <c r="V7" s="33"/>
      <c r="W7" s="33"/>
      <c r="X7" s="33"/>
      <c r="Y7" s="33"/>
      <c r="Z7" s="33"/>
      <c r="AA7" s="33"/>
      <c r="AB7" s="33"/>
      <c r="AC7" s="33"/>
    </row>
    <row r="8" spans="1:29" ht="15">
      <c r="A8" s="33"/>
      <c r="B8" s="30"/>
      <c r="C8" s="113"/>
      <c r="D8" s="24"/>
      <c r="E8" s="24"/>
      <c r="F8" s="24"/>
      <c r="G8" s="24"/>
      <c r="H8" s="24"/>
      <c r="I8" s="24"/>
      <c r="J8" s="24"/>
      <c r="K8" s="24"/>
      <c r="L8" s="24"/>
      <c r="M8" s="114"/>
      <c r="N8" s="30"/>
      <c r="O8" s="33"/>
      <c r="P8" s="33"/>
      <c r="Q8" s="33"/>
      <c r="R8" s="33"/>
      <c r="S8" s="33"/>
      <c r="T8" s="33"/>
      <c r="U8" s="33"/>
      <c r="V8" s="33"/>
      <c r="W8" s="33"/>
      <c r="X8" s="33"/>
      <c r="Y8" s="33"/>
      <c r="Z8" s="33"/>
      <c r="AA8" s="33"/>
      <c r="AB8" s="33"/>
      <c r="AC8" s="33"/>
    </row>
    <row r="9" spans="1:29" ht="25.5" customHeight="1">
      <c r="A9" s="33"/>
      <c r="B9" s="30"/>
      <c r="C9" s="113"/>
      <c r="D9" s="569"/>
      <c r="E9" s="569"/>
      <c r="F9" s="569"/>
      <c r="G9" s="568"/>
      <c r="H9" s="568"/>
      <c r="I9" s="569"/>
      <c r="J9" s="564" t="s">
        <v>246</v>
      </c>
      <c r="K9" s="570">
        <f>'Salary Scales'!G70</f>
        <v>38443</v>
      </c>
      <c r="L9" s="24"/>
      <c r="M9" s="114"/>
      <c r="N9" s="30"/>
      <c r="O9" s="33"/>
      <c r="P9" s="33"/>
      <c r="Q9" s="33"/>
      <c r="R9" s="33"/>
      <c r="S9" s="33"/>
      <c r="T9" s="33"/>
      <c r="U9" s="33"/>
      <c r="V9" s="33"/>
      <c r="W9" s="33"/>
      <c r="X9" s="33"/>
      <c r="Y9" s="33"/>
      <c r="Z9" s="33"/>
      <c r="AA9" s="33"/>
      <c r="AB9" s="33"/>
      <c r="AC9" s="33"/>
    </row>
    <row r="10" spans="1:29" ht="6.75" customHeight="1">
      <c r="A10" s="33"/>
      <c r="B10" s="30"/>
      <c r="C10" s="113"/>
      <c r="D10" s="517"/>
      <c r="E10" s="517"/>
      <c r="F10" s="517"/>
      <c r="G10" s="517"/>
      <c r="H10" s="517"/>
      <c r="I10" s="517"/>
      <c r="J10" s="517"/>
      <c r="K10" s="517"/>
      <c r="L10" s="517"/>
      <c r="M10" s="114"/>
      <c r="N10" s="30"/>
      <c r="O10" s="33"/>
      <c r="P10" s="33"/>
      <c r="Q10" s="33"/>
      <c r="R10" s="33"/>
      <c r="S10" s="33"/>
      <c r="T10" s="33"/>
      <c r="U10" s="33"/>
      <c r="V10" s="33"/>
      <c r="W10" s="33"/>
      <c r="X10" s="33"/>
      <c r="Y10" s="33"/>
      <c r="Z10" s="33"/>
      <c r="AA10" s="33"/>
      <c r="AB10" s="33"/>
      <c r="AC10" s="33"/>
    </row>
    <row r="11" spans="1:29" ht="15">
      <c r="A11" s="33"/>
      <c r="B11" s="30"/>
      <c r="C11" s="113"/>
      <c r="D11" s="24"/>
      <c r="E11" s="24"/>
      <c r="F11" s="24"/>
      <c r="G11" s="24"/>
      <c r="H11" s="24"/>
      <c r="I11" s="24"/>
      <c r="J11" s="24"/>
      <c r="K11" s="515"/>
      <c r="M11" s="114"/>
      <c r="N11" s="30"/>
      <c r="O11" s="33"/>
      <c r="P11" s="33"/>
      <c r="Q11" s="33"/>
      <c r="R11" s="33"/>
      <c r="S11" s="33"/>
      <c r="T11" s="33"/>
      <c r="U11" s="33"/>
      <c r="V11" s="33"/>
      <c r="W11" s="33"/>
      <c r="X11" s="33"/>
      <c r="Y11" s="33"/>
      <c r="Z11" s="33"/>
      <c r="AA11" s="33"/>
      <c r="AB11" s="33"/>
      <c r="AC11" s="33"/>
    </row>
    <row r="12" spans="1:29" ht="25.5" customHeight="1">
      <c r="A12" s="33"/>
      <c r="B12" s="30"/>
      <c r="C12" s="113"/>
      <c r="D12" s="24"/>
      <c r="E12" s="24"/>
      <c r="F12" s="24"/>
      <c r="G12" s="24"/>
      <c r="H12" s="24"/>
      <c r="I12" s="24"/>
      <c r="J12" s="24"/>
      <c r="K12" s="24"/>
      <c r="L12" s="24"/>
      <c r="M12" s="114"/>
      <c r="N12" s="30"/>
      <c r="O12" s="33"/>
      <c r="P12" s="33"/>
      <c r="Q12" s="33"/>
      <c r="R12" s="33"/>
      <c r="S12" s="33"/>
      <c r="T12" s="33"/>
      <c r="U12" s="33"/>
      <c r="V12" s="33"/>
      <c r="W12" s="33"/>
      <c r="X12" s="33"/>
      <c r="Y12" s="33"/>
      <c r="Z12" s="33"/>
      <c r="AA12" s="33"/>
      <c r="AB12" s="33"/>
      <c r="AC12" s="33"/>
    </row>
    <row r="13" spans="1:29" ht="18">
      <c r="A13" s="33"/>
      <c r="B13" s="30"/>
      <c r="C13" s="113"/>
      <c r="D13" s="540" t="s">
        <v>222</v>
      </c>
      <c r="E13" s="1115"/>
      <c r="F13" s="1116"/>
      <c r="G13" s="1116"/>
      <c r="H13" s="514"/>
      <c r="I13" s="567" t="s">
        <v>219</v>
      </c>
      <c r="J13" s="1115"/>
      <c r="K13" s="1116"/>
      <c r="L13" s="1116"/>
      <c r="M13" s="114"/>
      <c r="N13" s="30"/>
      <c r="O13" s="33"/>
      <c r="P13" s="33"/>
      <c r="Q13" s="33"/>
      <c r="R13" s="33"/>
      <c r="S13" s="33"/>
      <c r="T13" s="33"/>
      <c r="U13" s="33"/>
      <c r="V13" s="33"/>
      <c r="W13" s="33"/>
      <c r="X13" s="33"/>
      <c r="Y13" s="33"/>
      <c r="Z13" s="33"/>
      <c r="AA13" s="33"/>
      <c r="AB13" s="33"/>
      <c r="AC13" s="33"/>
    </row>
    <row r="14" spans="1:29" ht="20.25" customHeight="1">
      <c r="A14" s="33"/>
      <c r="B14" s="30"/>
      <c r="C14" s="113"/>
      <c r="D14" s="24"/>
      <c r="E14" s="24"/>
      <c r="F14" s="24"/>
      <c r="G14" s="24"/>
      <c r="H14" s="24"/>
      <c r="I14" s="24"/>
      <c r="J14" s="24"/>
      <c r="K14" s="24"/>
      <c r="L14" s="24"/>
      <c r="M14" s="114"/>
      <c r="N14" s="30"/>
      <c r="O14" s="33"/>
      <c r="P14" s="33"/>
      <c r="Q14" s="33"/>
      <c r="R14" s="33"/>
      <c r="S14" s="33"/>
      <c r="T14" s="33"/>
      <c r="U14" s="33"/>
      <c r="V14" s="33"/>
      <c r="W14" s="33"/>
      <c r="X14" s="33"/>
      <c r="Y14" s="33"/>
      <c r="Z14" s="33"/>
      <c r="AA14" s="33"/>
      <c r="AB14" s="33"/>
      <c r="AC14" s="33"/>
    </row>
    <row r="15" spans="1:29" ht="20.25" customHeight="1">
      <c r="A15" s="33"/>
      <c r="B15" s="30"/>
      <c r="C15" s="113"/>
      <c r="D15" s="24"/>
      <c r="E15" s="24"/>
      <c r="F15" s="24"/>
      <c r="G15" s="24"/>
      <c r="H15" s="24"/>
      <c r="I15" s="24"/>
      <c r="J15" s="24"/>
      <c r="K15" s="24"/>
      <c r="L15" s="24"/>
      <c r="M15" s="114"/>
      <c r="N15" s="30"/>
      <c r="O15" s="33"/>
      <c r="P15" s="33"/>
      <c r="Q15" s="33"/>
      <c r="R15" s="33"/>
      <c r="S15" s="33"/>
      <c r="T15" s="33"/>
      <c r="U15" s="33"/>
      <c r="V15" s="33"/>
      <c r="W15" s="33"/>
      <c r="X15" s="33"/>
      <c r="Y15" s="33"/>
      <c r="Z15" s="33"/>
      <c r="AA15" s="33"/>
      <c r="AB15" s="33"/>
      <c r="AC15" s="33"/>
    </row>
    <row r="16" spans="1:29" ht="20.25" customHeight="1">
      <c r="A16" s="33"/>
      <c r="B16" s="30"/>
      <c r="C16" s="118"/>
      <c r="E16" s="565" t="s">
        <v>223</v>
      </c>
      <c r="F16" s="578">
        <f>SUM('MANUAL COST'!D13:D15)</f>
        <v>9</v>
      </c>
      <c r="H16" s="565" t="s">
        <v>224</v>
      </c>
      <c r="I16" s="579">
        <f>SUM('MANUAL COST'!E13:E15)</f>
        <v>12</v>
      </c>
      <c r="K16" s="565" t="s">
        <v>225</v>
      </c>
      <c r="L16" s="578">
        <f>SUM('MANUAL COST'!F13:F15)</f>
        <v>52</v>
      </c>
      <c r="M16" s="521"/>
      <c r="N16" s="30"/>
      <c r="O16" s="33"/>
      <c r="P16" s="33"/>
      <c r="Q16" s="33"/>
      <c r="R16" s="33"/>
      <c r="S16" s="33"/>
      <c r="T16" s="33"/>
      <c r="U16" s="33"/>
      <c r="V16" s="33"/>
      <c r="W16" s="33"/>
      <c r="X16" s="33"/>
      <c r="Y16" s="33"/>
      <c r="Z16" s="33"/>
      <c r="AA16" s="33"/>
      <c r="AB16" s="33"/>
      <c r="AC16" s="33"/>
    </row>
    <row r="17" spans="1:29" ht="20.25" customHeight="1">
      <c r="A17" s="33"/>
      <c r="B17" s="30"/>
      <c r="C17" s="118"/>
      <c r="E17" s="565"/>
      <c r="F17" s="564"/>
      <c r="H17" s="565"/>
      <c r="I17" s="563"/>
      <c r="K17" s="565"/>
      <c r="L17" s="564"/>
      <c r="M17" s="521"/>
      <c r="N17" s="30"/>
      <c r="O17" s="33"/>
      <c r="P17" s="33"/>
      <c r="Q17" s="33"/>
      <c r="R17" s="33"/>
      <c r="S17" s="33"/>
      <c r="T17" s="33"/>
      <c r="U17" s="33"/>
      <c r="V17" s="33"/>
      <c r="W17" s="33"/>
      <c r="X17" s="33"/>
      <c r="Y17" s="33"/>
      <c r="Z17" s="33"/>
      <c r="AA17" s="33"/>
      <c r="AB17" s="33"/>
      <c r="AC17" s="33"/>
    </row>
    <row r="18" spans="1:29" ht="20.25" customHeight="1">
      <c r="A18" s="33"/>
      <c r="B18" s="30"/>
      <c r="C18" s="118"/>
      <c r="D18" s="518"/>
      <c r="E18" s="518"/>
      <c r="F18" s="518"/>
      <c r="G18" s="518"/>
      <c r="H18" s="518"/>
      <c r="I18" s="518"/>
      <c r="J18" s="518"/>
      <c r="K18" s="518"/>
      <c r="L18" s="518"/>
      <c r="M18" s="521"/>
      <c r="N18" s="30"/>
      <c r="O18" s="33"/>
      <c r="P18" s="33"/>
      <c r="Q18" s="33"/>
      <c r="R18" s="33"/>
      <c r="S18" s="33"/>
      <c r="T18" s="33"/>
      <c r="U18" s="33"/>
      <c r="V18" s="33"/>
      <c r="W18" s="33"/>
      <c r="X18" s="33"/>
      <c r="Y18" s="33"/>
      <c r="Z18" s="33"/>
      <c r="AA18" s="33"/>
      <c r="AB18" s="33"/>
      <c r="AC18" s="33"/>
    </row>
    <row r="19" spans="1:29" ht="20.25" customHeight="1">
      <c r="A19" s="33"/>
      <c r="B19" s="30"/>
      <c r="C19" s="118"/>
      <c r="E19" s="565" t="s">
        <v>226</v>
      </c>
      <c r="F19" s="579">
        <f>SUM('MANUAL COST'!H13:H15)</f>
        <v>0</v>
      </c>
      <c r="G19" s="518"/>
      <c r="H19" s="565" t="s">
        <v>227</v>
      </c>
      <c r="I19" s="580">
        <f>SUM('MANUAL COST'!K13:K15)</f>
        <v>0</v>
      </c>
      <c r="J19" s="518"/>
      <c r="K19" s="565" t="s">
        <v>228</v>
      </c>
      <c r="L19" s="579">
        <f>SUM('MANUAL COST'!M13:M15)</f>
        <v>0.3333333333333333</v>
      </c>
      <c r="M19" s="521"/>
      <c r="N19" s="30"/>
      <c r="O19" s="33"/>
      <c r="P19" s="33"/>
      <c r="Q19" s="33"/>
      <c r="R19" s="33"/>
      <c r="S19" s="33"/>
      <c r="T19" s="33"/>
      <c r="U19" s="33"/>
      <c r="V19" s="33"/>
      <c r="W19" s="33"/>
      <c r="X19" s="33"/>
      <c r="Y19" s="33"/>
      <c r="Z19" s="33"/>
      <c r="AA19" s="33"/>
      <c r="AB19" s="33"/>
      <c r="AC19" s="33"/>
    </row>
    <row r="20" spans="1:29" ht="20.25" customHeight="1">
      <c r="A20" s="33"/>
      <c r="B20" s="30"/>
      <c r="C20" s="118"/>
      <c r="E20" s="565"/>
      <c r="F20" s="563"/>
      <c r="G20" s="518"/>
      <c r="H20" s="565"/>
      <c r="I20" s="566"/>
      <c r="J20" s="518"/>
      <c r="K20" s="565"/>
      <c r="L20" s="563"/>
      <c r="M20" s="521"/>
      <c r="N20" s="30"/>
      <c r="O20" s="33"/>
      <c r="P20" s="33"/>
      <c r="Q20" s="33"/>
      <c r="R20" s="33"/>
      <c r="S20" s="33"/>
      <c r="T20" s="33"/>
      <c r="U20" s="33"/>
      <c r="V20" s="33"/>
      <c r="W20" s="33"/>
      <c r="X20" s="33"/>
      <c r="Y20" s="33"/>
      <c r="Z20" s="33"/>
      <c r="AA20" s="33"/>
      <c r="AB20" s="33"/>
      <c r="AC20" s="33"/>
    </row>
    <row r="21" spans="1:29" ht="20.25" customHeight="1">
      <c r="A21" s="33"/>
      <c r="B21" s="30"/>
      <c r="C21" s="118"/>
      <c r="E21" s="520"/>
      <c r="F21" s="526"/>
      <c r="G21" s="518"/>
      <c r="H21" s="520"/>
      <c r="I21" s="527"/>
      <c r="J21" s="518"/>
      <c r="K21" s="520"/>
      <c r="L21" s="526"/>
      <c r="M21" s="521"/>
      <c r="N21" s="30"/>
      <c r="O21" s="33"/>
      <c r="P21" s="33"/>
      <c r="Q21" s="33"/>
      <c r="R21" s="33"/>
      <c r="S21" s="33"/>
      <c r="T21" s="33"/>
      <c r="U21" s="33"/>
      <c r="V21" s="33"/>
      <c r="W21" s="33"/>
      <c r="X21" s="33"/>
      <c r="Y21" s="33"/>
      <c r="Z21" s="33"/>
      <c r="AA21" s="33"/>
      <c r="AB21" s="33"/>
      <c r="AC21" s="33"/>
    </row>
    <row r="22" spans="1:29" ht="20.25" customHeight="1">
      <c r="A22" s="33"/>
      <c r="B22" s="30"/>
      <c r="C22" s="118"/>
      <c r="E22" s="520"/>
      <c r="F22" s="560" t="s">
        <v>235</v>
      </c>
      <c r="G22" s="561" t="str">
        <f>F19&amp;" Weeks"</f>
        <v>0 Weeks</v>
      </c>
      <c r="H22" s="562">
        <f>IF(F19=0,"",VLOOKUP(F19,'MANUAL COST'!C33:D43,2))</f>
      </c>
      <c r="I22" s="527"/>
      <c r="J22" s="518"/>
      <c r="K22" s="520"/>
      <c r="L22" s="526"/>
      <c r="M22" s="521"/>
      <c r="N22" s="30"/>
      <c r="O22" s="33"/>
      <c r="P22" s="33"/>
      <c r="Q22" s="33"/>
      <c r="R22" s="33"/>
      <c r="S22" s="33"/>
      <c r="T22" s="33"/>
      <c r="U22" s="33"/>
      <c r="V22" s="33"/>
      <c r="W22" s="33"/>
      <c r="X22" s="33"/>
      <c r="Y22" s="33"/>
      <c r="Z22" s="33"/>
      <c r="AA22" s="33"/>
      <c r="AB22" s="33"/>
      <c r="AC22" s="33"/>
    </row>
    <row r="23" spans="1:29" ht="21" customHeight="1">
      <c r="A23" s="33"/>
      <c r="B23" s="30"/>
      <c r="C23" s="118"/>
      <c r="D23" s="528"/>
      <c r="E23" s="529"/>
      <c r="F23" s="529"/>
      <c r="G23" s="529"/>
      <c r="H23" s="529"/>
      <c r="I23" s="529"/>
      <c r="J23" s="529"/>
      <c r="K23" s="529"/>
      <c r="L23" s="529"/>
      <c r="M23" s="521"/>
      <c r="N23" s="30"/>
      <c r="O23" s="33"/>
      <c r="P23" s="33"/>
      <c r="Q23" s="33"/>
      <c r="R23" s="33"/>
      <c r="S23" s="33"/>
      <c r="T23" s="33"/>
      <c r="U23" s="33"/>
      <c r="V23" s="33"/>
      <c r="W23" s="33"/>
      <c r="X23" s="33"/>
      <c r="Y23" s="33"/>
      <c r="Z23" s="33"/>
      <c r="AA23" s="33"/>
      <c r="AB23" s="33"/>
      <c r="AC23" s="33"/>
    </row>
    <row r="24" spans="1:29" ht="15.75" customHeight="1">
      <c r="A24" s="33"/>
      <c r="B24" s="30"/>
      <c r="C24" s="118"/>
      <c r="D24" s="520"/>
      <c r="E24" s="518"/>
      <c r="F24" s="518"/>
      <c r="G24" s="518"/>
      <c r="H24" s="518"/>
      <c r="I24" s="518"/>
      <c r="J24" s="518"/>
      <c r="K24" s="518"/>
      <c r="L24" s="518"/>
      <c r="M24" s="521"/>
      <c r="N24" s="30"/>
      <c r="O24" s="33"/>
      <c r="P24" s="33"/>
      <c r="Q24" s="33"/>
      <c r="R24" s="33"/>
      <c r="S24" s="33"/>
      <c r="T24" s="33"/>
      <c r="U24" s="33"/>
      <c r="V24" s="33"/>
      <c r="W24" s="33"/>
      <c r="X24" s="33"/>
      <c r="Y24" s="33"/>
      <c r="Z24" s="33"/>
      <c r="AA24" s="33"/>
      <c r="AB24" s="33"/>
      <c r="AC24" s="33"/>
    </row>
    <row r="25" spans="1:29" ht="30" customHeight="1">
      <c r="A25" s="33"/>
      <c r="B25" s="30"/>
      <c r="C25" s="118"/>
      <c r="D25" s="518"/>
      <c r="E25" s="518"/>
      <c r="F25" s="518"/>
      <c r="G25" s="518"/>
      <c r="H25" s="518"/>
      <c r="I25" s="518"/>
      <c r="J25" s="518"/>
      <c r="K25" s="518"/>
      <c r="L25" s="518"/>
      <c r="M25" s="521"/>
      <c r="N25" s="30"/>
      <c r="O25" s="33"/>
      <c r="P25" s="33"/>
      <c r="Q25" s="33"/>
      <c r="R25" s="33"/>
      <c r="S25" s="33"/>
      <c r="T25" s="33"/>
      <c r="U25" s="33"/>
      <c r="V25" s="33"/>
      <c r="W25" s="33"/>
      <c r="X25" s="33"/>
      <c r="Y25" s="33"/>
      <c r="Z25" s="33"/>
      <c r="AA25" s="33"/>
      <c r="AB25" s="33"/>
      <c r="AC25" s="33"/>
    </row>
    <row r="26" spans="1:29" ht="17.25" customHeight="1">
      <c r="A26" s="33"/>
      <c r="B26" s="30"/>
      <c r="C26" s="118"/>
      <c r="D26" s="530"/>
      <c r="E26" s="531"/>
      <c r="F26" s="531"/>
      <c r="G26" s="531"/>
      <c r="H26" s="531"/>
      <c r="I26" s="531"/>
      <c r="J26" s="531"/>
      <c r="K26" s="531"/>
      <c r="L26" s="532"/>
      <c r="M26" s="521"/>
      <c r="N26" s="30"/>
      <c r="O26" s="33"/>
      <c r="P26" s="33"/>
      <c r="Q26" s="33"/>
      <c r="R26" s="33"/>
      <c r="S26" s="33"/>
      <c r="T26" s="33"/>
      <c r="U26" s="33"/>
      <c r="V26" s="33"/>
      <c r="W26" s="33"/>
      <c r="X26" s="33"/>
      <c r="Y26" s="33"/>
      <c r="Z26" s="33"/>
      <c r="AA26" s="33"/>
      <c r="AB26" s="33"/>
      <c r="AC26" s="33"/>
    </row>
    <row r="27" spans="1:29" ht="20.25" customHeight="1">
      <c r="A27" s="33"/>
      <c r="B27" s="30"/>
      <c r="C27" s="118"/>
      <c r="D27" s="555" t="s">
        <v>242</v>
      </c>
      <c r="E27" s="551"/>
      <c r="F27" s="551"/>
      <c r="G27" s="551"/>
      <c r="H27" s="551"/>
      <c r="I27" s="551"/>
      <c r="J27" s="551"/>
      <c r="K27" s="551"/>
      <c r="L27" s="552"/>
      <c r="M27" s="521"/>
      <c r="N27" s="30"/>
      <c r="O27" s="33"/>
      <c r="P27" s="33"/>
      <c r="Q27" s="33"/>
      <c r="R27" s="33"/>
      <c r="S27" s="33"/>
      <c r="T27" s="33"/>
      <c r="U27" s="33"/>
      <c r="V27" s="33"/>
      <c r="W27" s="33"/>
      <c r="X27" s="33"/>
      <c r="Y27" s="33"/>
      <c r="Z27" s="33"/>
      <c r="AA27" s="33"/>
      <c r="AB27" s="33"/>
      <c r="AC27" s="33"/>
    </row>
    <row r="28" spans="1:29" ht="20.25" customHeight="1">
      <c r="A28" s="33"/>
      <c r="B28" s="30"/>
      <c r="C28" s="118"/>
      <c r="D28" s="533"/>
      <c r="E28" s="534"/>
      <c r="F28" s="534"/>
      <c r="G28" s="534"/>
      <c r="H28" s="534"/>
      <c r="I28" s="534"/>
      <c r="J28" s="534"/>
      <c r="K28" s="534"/>
      <c r="L28" s="535"/>
      <c r="M28" s="521"/>
      <c r="N28" s="30"/>
      <c r="O28" s="33"/>
      <c r="P28" s="33"/>
      <c r="Q28" s="33"/>
      <c r="R28" s="33"/>
      <c r="S28" s="33"/>
      <c r="T28" s="33"/>
      <c r="U28" s="33"/>
      <c r="V28" s="33"/>
      <c r="W28" s="33"/>
      <c r="X28" s="33"/>
      <c r="Y28" s="33"/>
      <c r="Z28" s="33"/>
      <c r="AA28" s="33"/>
      <c r="AB28" s="33"/>
      <c r="AC28" s="33"/>
    </row>
    <row r="29" spans="1:29" ht="20.25" customHeight="1">
      <c r="A29" s="33"/>
      <c r="B29" s="30"/>
      <c r="C29" s="118"/>
      <c r="D29" s="533"/>
      <c r="E29" s="534"/>
      <c r="F29" s="534"/>
      <c r="G29" s="534"/>
      <c r="H29" s="534"/>
      <c r="I29" s="534"/>
      <c r="J29" s="534"/>
      <c r="K29" s="534"/>
      <c r="L29" s="535"/>
      <c r="M29" s="521"/>
      <c r="N29" s="30"/>
      <c r="O29" s="33"/>
      <c r="P29" s="33"/>
      <c r="Q29" s="33"/>
      <c r="R29" s="33"/>
      <c r="S29" s="33"/>
      <c r="T29" s="33"/>
      <c r="U29" s="33"/>
      <c r="V29" s="33"/>
      <c r="W29" s="33"/>
      <c r="X29" s="33"/>
      <c r="Y29" s="33"/>
      <c r="Z29" s="33"/>
      <c r="AA29" s="33"/>
      <c r="AB29" s="33"/>
      <c r="AC29" s="33"/>
    </row>
    <row r="30" spans="1:29" ht="20.25" customHeight="1">
      <c r="A30" s="33"/>
      <c r="B30" s="30"/>
      <c r="C30" s="118"/>
      <c r="D30" s="533"/>
      <c r="E30" s="534"/>
      <c r="F30" s="534"/>
      <c r="G30" s="558" t="s">
        <v>236</v>
      </c>
      <c r="H30" s="556">
        <f>SUM('MANUAL COST'!O13:Q15)</f>
        <v>4386</v>
      </c>
      <c r="I30" s="559" t="s">
        <v>238</v>
      </c>
      <c r="J30" s="534"/>
      <c r="K30" s="534"/>
      <c r="L30" s="535"/>
      <c r="M30" s="521"/>
      <c r="N30" s="30"/>
      <c r="O30" s="33"/>
      <c r="P30" s="33"/>
      <c r="Q30" s="33"/>
      <c r="R30" s="33"/>
      <c r="S30" s="33"/>
      <c r="T30" s="33"/>
      <c r="U30" s="33"/>
      <c r="V30" s="33"/>
      <c r="W30" s="33"/>
      <c r="X30" s="33"/>
      <c r="Y30" s="33"/>
      <c r="Z30" s="33"/>
      <c r="AA30" s="33"/>
      <c r="AB30" s="33"/>
      <c r="AC30" s="33"/>
    </row>
    <row r="31" spans="1:29" ht="16.5" customHeight="1">
      <c r="A31" s="33"/>
      <c r="B31" s="30"/>
      <c r="C31" s="118"/>
      <c r="D31" s="533"/>
      <c r="E31" s="534"/>
      <c r="F31" s="534"/>
      <c r="G31" s="534"/>
      <c r="H31" s="550"/>
      <c r="I31" s="534"/>
      <c r="J31" s="534"/>
      <c r="K31" s="534"/>
      <c r="L31" s="535"/>
      <c r="M31" s="521"/>
      <c r="N31" s="30"/>
      <c r="O31" s="33"/>
      <c r="P31" s="33"/>
      <c r="Q31" s="33"/>
      <c r="R31" s="33"/>
      <c r="S31" s="33"/>
      <c r="T31" s="33"/>
      <c r="U31" s="33"/>
      <c r="V31" s="33"/>
      <c r="W31" s="33"/>
      <c r="X31" s="33"/>
      <c r="Y31" s="33"/>
      <c r="Z31" s="33"/>
      <c r="AA31" s="33"/>
      <c r="AB31" s="33"/>
      <c r="AC31" s="33"/>
    </row>
    <row r="32" spans="1:29" ht="20.25" customHeight="1">
      <c r="A32" s="33"/>
      <c r="B32" s="30"/>
      <c r="C32" s="118"/>
      <c r="D32" s="533"/>
      <c r="E32" s="534"/>
      <c r="F32" s="534"/>
      <c r="G32" s="558" t="s">
        <v>245</v>
      </c>
      <c r="H32" s="556">
        <f>SUM('MANUAL COST'!R13:R15)</f>
        <v>0</v>
      </c>
      <c r="I32" s="559" t="s">
        <v>241</v>
      </c>
      <c r="J32" s="534"/>
      <c r="K32" s="534"/>
      <c r="L32" s="535"/>
      <c r="M32" s="521"/>
      <c r="N32" s="30"/>
      <c r="O32" s="33"/>
      <c r="P32" s="33"/>
      <c r="Q32" s="33"/>
      <c r="R32" s="33"/>
      <c r="S32" s="33"/>
      <c r="T32" s="33"/>
      <c r="U32" s="33"/>
      <c r="V32" s="33"/>
      <c r="W32" s="33"/>
      <c r="X32" s="33"/>
      <c r="Y32" s="33"/>
      <c r="Z32" s="33"/>
      <c r="AA32" s="33"/>
      <c r="AB32" s="33"/>
      <c r="AC32" s="33"/>
    </row>
    <row r="33" spans="1:29" ht="16.5" customHeight="1">
      <c r="A33" s="33"/>
      <c r="B33" s="30"/>
      <c r="C33" s="118"/>
      <c r="D33" s="533"/>
      <c r="E33" s="534"/>
      <c r="F33" s="534"/>
      <c r="G33" s="550"/>
      <c r="H33" s="534"/>
      <c r="I33" s="534"/>
      <c r="J33" s="534"/>
      <c r="K33" s="534"/>
      <c r="L33" s="535"/>
      <c r="M33" s="521"/>
      <c r="N33" s="30"/>
      <c r="O33" s="33"/>
      <c r="P33" s="33"/>
      <c r="Q33" s="33"/>
      <c r="R33" s="33"/>
      <c r="S33" s="33"/>
      <c r="T33" s="33"/>
      <c r="U33" s="33"/>
      <c r="V33" s="33"/>
      <c r="W33" s="33"/>
      <c r="X33" s="33"/>
      <c r="Y33" s="33"/>
      <c r="Z33" s="33"/>
      <c r="AA33" s="33"/>
      <c r="AB33" s="33"/>
      <c r="AC33" s="33"/>
    </row>
    <row r="34" spans="1:29" ht="20.25" customHeight="1">
      <c r="A34" s="33"/>
      <c r="B34" s="30"/>
      <c r="C34" s="118"/>
      <c r="D34" s="533"/>
      <c r="E34" s="534"/>
      <c r="F34" s="534"/>
      <c r="G34" s="558" t="s">
        <v>239</v>
      </c>
      <c r="H34" s="556">
        <f>SUM('MANUAL COST'!K13:K15)</f>
        <v>0</v>
      </c>
      <c r="I34" s="559" t="s">
        <v>241</v>
      </c>
      <c r="J34" s="534"/>
      <c r="K34" s="534"/>
      <c r="L34" s="535"/>
      <c r="M34" s="521"/>
      <c r="N34" s="30"/>
      <c r="O34" s="33"/>
      <c r="P34" s="33"/>
      <c r="Q34" s="33"/>
      <c r="R34" s="33"/>
      <c r="S34" s="33"/>
      <c r="T34" s="33"/>
      <c r="U34" s="33"/>
      <c r="V34" s="33"/>
      <c r="W34" s="33"/>
      <c r="X34" s="33"/>
      <c r="Y34" s="33"/>
      <c r="Z34" s="33"/>
      <c r="AA34" s="33"/>
      <c r="AB34" s="33"/>
      <c r="AC34" s="33"/>
    </row>
    <row r="35" spans="1:29" ht="20.25" customHeight="1">
      <c r="A35" s="33"/>
      <c r="B35" s="30"/>
      <c r="C35" s="118"/>
      <c r="D35" s="533"/>
      <c r="E35" s="534"/>
      <c r="F35" s="534"/>
      <c r="G35" s="534"/>
      <c r="H35" s="534"/>
      <c r="I35" s="534"/>
      <c r="J35" s="534"/>
      <c r="K35" s="534"/>
      <c r="L35" s="535"/>
      <c r="M35" s="521"/>
      <c r="N35" s="30"/>
      <c r="O35" s="33"/>
      <c r="P35" s="33"/>
      <c r="Q35" s="33"/>
      <c r="R35" s="33"/>
      <c r="S35" s="33"/>
      <c r="T35" s="33"/>
      <c r="U35" s="33"/>
      <c r="V35" s="33"/>
      <c r="W35" s="33"/>
      <c r="X35" s="33"/>
      <c r="Y35" s="33"/>
      <c r="Z35" s="33"/>
      <c r="AA35" s="33"/>
      <c r="AB35" s="33"/>
      <c r="AC35" s="33"/>
    </row>
    <row r="36" spans="1:29" ht="20.25" customHeight="1" thickBot="1">
      <c r="A36" s="33"/>
      <c r="B36" s="30"/>
      <c r="C36" s="118"/>
      <c r="D36" s="533"/>
      <c r="E36" s="534"/>
      <c r="F36" s="534"/>
      <c r="G36" s="558" t="s">
        <v>240</v>
      </c>
      <c r="H36" s="557">
        <f>SUM('MANUAL COST'!S13:S15)</f>
        <v>4386</v>
      </c>
      <c r="I36" s="534"/>
      <c r="J36" s="534"/>
      <c r="K36" s="534"/>
      <c r="L36" s="535"/>
      <c r="M36" s="521"/>
      <c r="N36" s="30"/>
      <c r="O36" s="33"/>
      <c r="P36" s="33"/>
      <c r="Q36" s="33"/>
      <c r="R36" s="33"/>
      <c r="S36" s="33"/>
      <c r="T36" s="33"/>
      <c r="U36" s="33"/>
      <c r="V36" s="33"/>
      <c r="W36" s="33"/>
      <c r="X36" s="33"/>
      <c r="Y36" s="33"/>
      <c r="Z36" s="33"/>
      <c r="AA36" s="33"/>
      <c r="AB36" s="33"/>
      <c r="AC36" s="33"/>
    </row>
    <row r="37" spans="1:29" ht="12" customHeight="1">
      <c r="A37" s="33"/>
      <c r="B37" s="30"/>
      <c r="C37" s="118"/>
      <c r="D37" s="533"/>
      <c r="E37" s="534"/>
      <c r="F37" s="534"/>
      <c r="G37" s="550"/>
      <c r="H37" s="553"/>
      <c r="I37" s="534"/>
      <c r="J37" s="534"/>
      <c r="K37" s="534"/>
      <c r="L37" s="535"/>
      <c r="M37" s="521"/>
      <c r="N37" s="30"/>
      <c r="O37" s="33"/>
      <c r="P37" s="33"/>
      <c r="Q37" s="33"/>
      <c r="R37" s="33"/>
      <c r="S37" s="33"/>
      <c r="T37" s="33"/>
      <c r="U37" s="33"/>
      <c r="V37" s="33"/>
      <c r="W37" s="33"/>
      <c r="X37" s="33"/>
      <c r="Y37" s="33"/>
      <c r="Z37" s="33"/>
      <c r="AA37" s="33"/>
      <c r="AB37" s="33"/>
      <c r="AC37" s="33"/>
    </row>
    <row r="38" spans="1:29" ht="20.25" customHeight="1">
      <c r="A38" s="33"/>
      <c r="B38" s="30"/>
      <c r="C38" s="118"/>
      <c r="D38" s="533"/>
      <c r="E38" s="534"/>
      <c r="F38" s="534"/>
      <c r="G38" s="550"/>
      <c r="H38" s="554">
        <f>IF(H36=SUM(H29:H35),"","CALCULATION ERROR.  CHECK FORMULA.")</f>
      </c>
      <c r="I38" s="534"/>
      <c r="J38" s="534"/>
      <c r="K38" s="534"/>
      <c r="L38" s="535"/>
      <c r="M38" s="521"/>
      <c r="N38" s="30"/>
      <c r="O38" s="33"/>
      <c r="P38" s="33"/>
      <c r="Q38" s="33"/>
      <c r="R38" s="33"/>
      <c r="S38" s="33"/>
      <c r="T38" s="33"/>
      <c r="U38" s="33"/>
      <c r="V38" s="33"/>
      <c r="W38" s="33"/>
      <c r="X38" s="33"/>
      <c r="Y38" s="33"/>
      <c r="Z38" s="33"/>
      <c r="AA38" s="33"/>
      <c r="AB38" s="33"/>
      <c r="AC38" s="33"/>
    </row>
    <row r="39" spans="1:29" ht="12" customHeight="1">
      <c r="A39" s="33"/>
      <c r="B39" s="30"/>
      <c r="C39" s="122"/>
      <c r="D39" s="536"/>
      <c r="E39" s="537"/>
      <c r="F39" s="537"/>
      <c r="G39" s="538"/>
      <c r="H39" s="538"/>
      <c r="I39" s="538"/>
      <c r="J39" s="538"/>
      <c r="K39" s="538"/>
      <c r="L39" s="539"/>
      <c r="M39" s="521"/>
      <c r="N39" s="30"/>
      <c r="O39" s="33"/>
      <c r="P39" s="33"/>
      <c r="Q39" s="33"/>
      <c r="R39" s="33"/>
      <c r="S39" s="33"/>
      <c r="T39" s="33"/>
      <c r="U39" s="33"/>
      <c r="V39" s="33"/>
      <c r="W39" s="33"/>
      <c r="X39" s="33"/>
      <c r="Y39" s="33"/>
      <c r="Z39" s="33"/>
      <c r="AA39" s="33"/>
      <c r="AB39" s="33"/>
      <c r="AC39" s="33"/>
    </row>
    <row r="40" spans="1:29" ht="21" customHeight="1">
      <c r="A40" s="33"/>
      <c r="B40" s="30"/>
      <c r="C40" s="122"/>
      <c r="D40" s="123"/>
      <c r="E40" s="123"/>
      <c r="F40" s="123"/>
      <c r="G40" s="123"/>
      <c r="H40" s="123"/>
      <c r="I40" s="123"/>
      <c r="J40" s="123"/>
      <c r="K40" s="123"/>
      <c r="L40" s="123"/>
      <c r="M40" s="521"/>
      <c r="N40" s="30"/>
      <c r="O40" s="33"/>
      <c r="P40" s="33"/>
      <c r="Q40" s="33"/>
      <c r="R40" s="33"/>
      <c r="S40" s="33"/>
      <c r="T40" s="33"/>
      <c r="U40" s="33"/>
      <c r="V40" s="33"/>
      <c r="W40" s="33"/>
      <c r="X40" s="33"/>
      <c r="Y40" s="33"/>
      <c r="Z40" s="33"/>
      <c r="AA40" s="33"/>
      <c r="AB40" s="33"/>
      <c r="AC40" s="33"/>
    </row>
    <row r="41" spans="1:29" ht="17.25" customHeight="1">
      <c r="A41" s="33"/>
      <c r="B41" s="30"/>
      <c r="C41" s="122"/>
      <c r="D41" s="562" t="s">
        <v>234</v>
      </c>
      <c r="E41" s="123"/>
      <c r="F41" s="123"/>
      <c r="G41" s="123"/>
      <c r="H41" s="123"/>
      <c r="I41" s="123"/>
      <c r="J41" s="123"/>
      <c r="K41" s="123"/>
      <c r="L41" s="123"/>
      <c r="M41" s="521"/>
      <c r="N41" s="30"/>
      <c r="O41" s="33"/>
      <c r="P41" s="33"/>
      <c r="Q41" s="33"/>
      <c r="R41" s="33"/>
      <c r="S41" s="33"/>
      <c r="T41" s="33"/>
      <c r="U41" s="33"/>
      <c r="V41" s="33"/>
      <c r="W41" s="33"/>
      <c r="X41" s="33"/>
      <c r="Y41" s="33"/>
      <c r="Z41" s="33"/>
      <c r="AA41" s="33"/>
      <c r="AB41" s="33"/>
      <c r="AC41" s="33"/>
    </row>
    <row r="42" spans="1:29" ht="17.25" customHeight="1">
      <c r="A42" s="33"/>
      <c r="B42" s="30"/>
      <c r="C42" s="122"/>
      <c r="D42" s="123"/>
      <c r="E42" s="123"/>
      <c r="F42" s="123"/>
      <c r="G42" s="123"/>
      <c r="H42" s="123"/>
      <c r="I42" s="123"/>
      <c r="J42" s="123"/>
      <c r="K42" s="123"/>
      <c r="L42" s="123"/>
      <c r="M42" s="521"/>
      <c r="N42" s="30"/>
      <c r="O42" s="33"/>
      <c r="P42" s="33"/>
      <c r="Q42" s="33"/>
      <c r="R42" s="33"/>
      <c r="S42" s="33"/>
      <c r="T42" s="33"/>
      <c r="U42" s="33"/>
      <c r="V42" s="33"/>
      <c r="W42" s="33"/>
      <c r="X42" s="33"/>
      <c r="Y42" s="33"/>
      <c r="Z42" s="33"/>
      <c r="AA42" s="33"/>
      <c r="AB42" s="33"/>
      <c r="AC42" s="33"/>
    </row>
    <row r="43" spans="1:29" ht="18">
      <c r="A43" s="33"/>
      <c r="B43" s="30"/>
      <c r="C43" s="118"/>
      <c r="D43" s="123"/>
      <c r="E43" s="124"/>
      <c r="F43" s="124"/>
      <c r="G43" s="124"/>
      <c r="H43" s="518"/>
      <c r="I43" s="518"/>
      <c r="J43" s="516"/>
      <c r="K43" s="518"/>
      <c r="L43" s="518"/>
      <c r="M43" s="521"/>
      <c r="N43" s="30"/>
      <c r="O43" s="33"/>
      <c r="P43" s="33"/>
      <c r="Q43" s="33"/>
      <c r="R43" s="33"/>
      <c r="S43" s="33"/>
      <c r="T43" s="33"/>
      <c r="U43" s="33"/>
      <c r="V43" s="33"/>
      <c r="W43" s="33"/>
      <c r="X43" s="33"/>
      <c r="Y43" s="33"/>
      <c r="Z43" s="33"/>
      <c r="AA43" s="33"/>
      <c r="AB43" s="33"/>
      <c r="AC43" s="33"/>
    </row>
    <row r="44" spans="1:29" ht="18">
      <c r="A44" s="33"/>
      <c r="B44" s="30"/>
      <c r="C44" s="118"/>
      <c r="D44" s="541" t="s">
        <v>229</v>
      </c>
      <c r="E44" s="1106"/>
      <c r="F44" s="1107"/>
      <c r="G44" s="1107"/>
      <c r="H44" s="1107"/>
      <c r="I44" s="1107"/>
      <c r="J44" s="1107"/>
      <c r="K44" s="1107"/>
      <c r="L44" s="1108"/>
      <c r="M44" s="521"/>
      <c r="N44" s="30"/>
      <c r="O44" s="33"/>
      <c r="P44" s="33"/>
      <c r="Q44" s="33"/>
      <c r="R44" s="33"/>
      <c r="S44" s="33"/>
      <c r="T44" s="33"/>
      <c r="U44" s="33"/>
      <c r="V44" s="33"/>
      <c r="W44" s="33"/>
      <c r="X44" s="33"/>
      <c r="Y44" s="33"/>
      <c r="Z44" s="33"/>
      <c r="AA44" s="33"/>
      <c r="AB44" s="33"/>
      <c r="AC44" s="33"/>
    </row>
    <row r="45" spans="1:29" ht="18">
      <c r="A45" s="33"/>
      <c r="B45" s="30"/>
      <c r="C45" s="118"/>
      <c r="D45" s="549"/>
      <c r="E45" s="1109"/>
      <c r="F45" s="1110"/>
      <c r="G45" s="1110"/>
      <c r="H45" s="1110"/>
      <c r="I45" s="1110"/>
      <c r="J45" s="1110"/>
      <c r="K45" s="1110"/>
      <c r="L45" s="1111"/>
      <c r="M45" s="521"/>
      <c r="N45" s="30"/>
      <c r="O45" s="33"/>
      <c r="P45" s="33"/>
      <c r="Q45" s="33"/>
      <c r="R45" s="33"/>
      <c r="S45" s="33"/>
      <c r="T45" s="33"/>
      <c r="U45" s="33"/>
      <c r="V45" s="33"/>
      <c r="W45" s="33"/>
      <c r="X45" s="33"/>
      <c r="Y45" s="33"/>
      <c r="Z45" s="33"/>
      <c r="AA45" s="33"/>
      <c r="AB45" s="33"/>
      <c r="AC45" s="33"/>
    </row>
    <row r="46" spans="1:29" ht="18">
      <c r="A46" s="33"/>
      <c r="B46" s="30"/>
      <c r="C46" s="118"/>
      <c r="D46" s="542"/>
      <c r="E46" s="1112"/>
      <c r="F46" s="1113"/>
      <c r="G46" s="1113"/>
      <c r="H46" s="1113"/>
      <c r="I46" s="1113"/>
      <c r="J46" s="1113"/>
      <c r="K46" s="1113"/>
      <c r="L46" s="1114"/>
      <c r="M46" s="521"/>
      <c r="N46" s="30"/>
      <c r="O46" s="33"/>
      <c r="P46" s="33"/>
      <c r="Q46" s="33"/>
      <c r="R46" s="33"/>
      <c r="S46" s="33"/>
      <c r="T46" s="33"/>
      <c r="U46" s="33"/>
      <c r="V46" s="33"/>
      <c r="W46" s="33"/>
      <c r="X46" s="33"/>
      <c r="Y46" s="33"/>
      <c r="Z46" s="33"/>
      <c r="AA46" s="33"/>
      <c r="AB46" s="33"/>
      <c r="AC46" s="33"/>
    </row>
    <row r="47" spans="1:29" ht="18">
      <c r="A47" s="33"/>
      <c r="B47" s="30"/>
      <c r="C47" s="118"/>
      <c r="D47" s="123"/>
      <c r="E47" s="123"/>
      <c r="F47" s="123"/>
      <c r="G47" s="123"/>
      <c r="H47" s="123"/>
      <c r="I47" s="123"/>
      <c r="J47" s="123"/>
      <c r="K47" s="123"/>
      <c r="L47" s="123"/>
      <c r="M47" s="521"/>
      <c r="N47" s="30"/>
      <c r="O47" s="33"/>
      <c r="P47" s="33"/>
      <c r="Q47" s="33"/>
      <c r="R47" s="33"/>
      <c r="S47" s="33"/>
      <c r="T47" s="33"/>
      <c r="U47" s="33"/>
      <c r="V47" s="33"/>
      <c r="W47" s="33"/>
      <c r="X47" s="33"/>
      <c r="Y47" s="33"/>
      <c r="Z47" s="33"/>
      <c r="AA47" s="33"/>
      <c r="AB47" s="33"/>
      <c r="AC47" s="33"/>
    </row>
    <row r="48" spans="1:29" ht="18">
      <c r="A48" s="33"/>
      <c r="B48" s="30"/>
      <c r="C48" s="118"/>
      <c r="D48" s="123"/>
      <c r="E48" s="124"/>
      <c r="F48" s="124"/>
      <c r="G48" s="124"/>
      <c r="H48" s="518"/>
      <c r="I48" s="518"/>
      <c r="J48" s="516"/>
      <c r="K48" s="518"/>
      <c r="L48" s="518"/>
      <c r="M48" s="521"/>
      <c r="N48" s="30"/>
      <c r="O48" s="33"/>
      <c r="P48" s="33"/>
      <c r="Q48" s="33"/>
      <c r="R48" s="33"/>
      <c r="S48" s="33"/>
      <c r="T48" s="33"/>
      <c r="U48" s="33"/>
      <c r="V48" s="33"/>
      <c r="W48" s="33"/>
      <c r="X48" s="33"/>
      <c r="Y48" s="33"/>
      <c r="Z48" s="33"/>
      <c r="AA48" s="33"/>
      <c r="AB48" s="33"/>
      <c r="AC48" s="33"/>
    </row>
    <row r="49" spans="1:29" ht="18">
      <c r="A49" s="33"/>
      <c r="B49" s="30"/>
      <c r="C49" s="118"/>
      <c r="D49" s="519" t="s">
        <v>230</v>
      </c>
      <c r="E49" s="740">
        <f>'Teachers Statement'!E49</f>
        <v>0</v>
      </c>
      <c r="F49" s="739"/>
      <c r="G49" s="543"/>
      <c r="H49" s="544"/>
      <c r="I49" s="520" t="s">
        <v>231</v>
      </c>
      <c r="J49" s="611"/>
      <c r="K49" s="529"/>
      <c r="L49" s="529"/>
      <c r="M49" s="521"/>
      <c r="N49" s="30"/>
      <c r="O49" s="33"/>
      <c r="P49" s="33"/>
      <c r="Q49" s="33"/>
      <c r="R49" s="33"/>
      <c r="S49" s="33"/>
      <c r="T49" s="33"/>
      <c r="U49" s="33"/>
      <c r="V49" s="33"/>
      <c r="W49" s="33"/>
      <c r="X49" s="33"/>
      <c r="Y49" s="33"/>
      <c r="Z49" s="33"/>
      <c r="AA49" s="33"/>
      <c r="AB49" s="33"/>
      <c r="AC49" s="33"/>
    </row>
    <row r="50" spans="1:29" ht="30" customHeight="1">
      <c r="A50" s="33"/>
      <c r="B50" s="30"/>
      <c r="C50" s="118"/>
      <c r="D50" s="544"/>
      <c r="E50" s="544"/>
      <c r="F50" s="544"/>
      <c r="G50" s="544"/>
      <c r="H50" s="544"/>
      <c r="I50" s="544"/>
      <c r="J50" s="544"/>
      <c r="K50" s="544"/>
      <c r="L50" s="544"/>
      <c r="M50" s="521"/>
      <c r="N50" s="30"/>
      <c r="O50" s="33"/>
      <c r="P50" s="33"/>
      <c r="Q50" s="33"/>
      <c r="R50" s="33"/>
      <c r="S50" s="33"/>
      <c r="T50" s="33"/>
      <c r="U50" s="33"/>
      <c r="V50" s="33"/>
      <c r="W50" s="33"/>
      <c r="X50" s="33"/>
      <c r="Y50" s="33"/>
      <c r="Z50" s="33"/>
      <c r="AA50" s="33"/>
      <c r="AB50" s="33"/>
      <c r="AC50" s="33"/>
    </row>
    <row r="51" spans="1:29" ht="18">
      <c r="A51" s="33"/>
      <c r="B51" s="30"/>
      <c r="C51" s="118"/>
      <c r="D51" s="519"/>
      <c r="E51" s="612"/>
      <c r="F51" s="612"/>
      <c r="G51" s="612"/>
      <c r="H51" s="544"/>
      <c r="I51" s="519" t="s">
        <v>232</v>
      </c>
      <c r="J51" s="548">
        <f ca="1">NOW()</f>
        <v>38661.583044328705</v>
      </c>
      <c r="L51" s="544"/>
      <c r="M51" s="521"/>
      <c r="N51" s="30"/>
      <c r="O51" s="33"/>
      <c r="P51" s="33"/>
      <c r="Q51" s="33"/>
      <c r="R51" s="33"/>
      <c r="S51" s="33"/>
      <c r="T51" s="33"/>
      <c r="U51" s="33"/>
      <c r="V51" s="33"/>
      <c r="W51" s="33"/>
      <c r="X51" s="33"/>
      <c r="Y51" s="33"/>
      <c r="Z51" s="33"/>
      <c r="AA51" s="33"/>
      <c r="AB51" s="33"/>
      <c r="AC51" s="33"/>
    </row>
    <row r="52" spans="1:29" ht="30" customHeight="1">
      <c r="A52" s="33"/>
      <c r="B52" s="30"/>
      <c r="C52" s="118"/>
      <c r="D52" s="544"/>
      <c r="E52" s="544"/>
      <c r="F52" s="544"/>
      <c r="G52" s="544"/>
      <c r="H52" s="544"/>
      <c r="I52" s="544"/>
      <c r="J52" s="544"/>
      <c r="K52" s="544"/>
      <c r="L52" s="544"/>
      <c r="M52" s="521"/>
      <c r="N52" s="30"/>
      <c r="O52" s="33"/>
      <c r="P52" s="33"/>
      <c r="Q52" s="33"/>
      <c r="R52" s="33"/>
      <c r="S52" s="33"/>
      <c r="T52" s="33"/>
      <c r="U52" s="33"/>
      <c r="V52" s="33"/>
      <c r="W52" s="33"/>
      <c r="X52" s="33"/>
      <c r="Y52" s="33"/>
      <c r="Z52" s="33"/>
      <c r="AA52" s="33"/>
      <c r="AB52" s="33"/>
      <c r="AC52" s="33"/>
    </row>
    <row r="53" spans="1:29" ht="18">
      <c r="A53" s="33"/>
      <c r="B53" s="30"/>
      <c r="C53" s="118"/>
      <c r="D53" s="545"/>
      <c r="E53" s="545"/>
      <c r="H53" s="519" t="s">
        <v>233</v>
      </c>
      <c r="I53" s="582" t="str">
        <f>$H$7</f>
        <v>SELECT SCHOOL NAME FROM LIST</v>
      </c>
      <c r="J53" s="546"/>
      <c r="K53" s="547"/>
      <c r="L53" s="544"/>
      <c r="M53" s="521"/>
      <c r="N53" s="30"/>
      <c r="O53" s="33"/>
      <c r="P53" s="33"/>
      <c r="Q53" s="33"/>
      <c r="R53" s="33"/>
      <c r="S53" s="33"/>
      <c r="T53" s="33"/>
      <c r="U53" s="33"/>
      <c r="V53" s="33"/>
      <c r="W53" s="33"/>
      <c r="X53" s="33"/>
      <c r="Y53" s="33"/>
      <c r="Z53" s="33"/>
      <c r="AA53" s="33"/>
      <c r="AB53" s="33"/>
      <c r="AC53" s="33"/>
    </row>
    <row r="54" spans="1:29" ht="18.75" thickBot="1">
      <c r="A54" s="33"/>
      <c r="B54" s="30"/>
      <c r="C54" s="522"/>
      <c r="D54" s="523"/>
      <c r="E54" s="524"/>
      <c r="F54" s="524"/>
      <c r="G54" s="524"/>
      <c r="H54" s="524"/>
      <c r="I54" s="524"/>
      <c r="J54" s="524"/>
      <c r="K54" s="524"/>
      <c r="L54" s="524"/>
      <c r="M54" s="525"/>
      <c r="N54" s="32"/>
      <c r="O54" s="33"/>
      <c r="P54" s="33"/>
      <c r="Q54" s="33"/>
      <c r="R54" s="33"/>
      <c r="S54" s="33"/>
      <c r="T54" s="33"/>
      <c r="U54" s="33"/>
      <c r="V54" s="33"/>
      <c r="W54" s="33"/>
      <c r="X54" s="33"/>
      <c r="Y54" s="33"/>
      <c r="Z54" s="33"/>
      <c r="AA54" s="33"/>
      <c r="AB54" s="33"/>
      <c r="AC54" s="33"/>
    </row>
    <row r="55" spans="1:29" ht="4.5" customHeight="1">
      <c r="A55" s="33"/>
      <c r="B55" s="30"/>
      <c r="C55" s="513"/>
      <c r="D55" s="30"/>
      <c r="E55" s="30"/>
      <c r="F55" s="30"/>
      <c r="G55" s="30"/>
      <c r="H55" s="30"/>
      <c r="I55" s="30"/>
      <c r="J55" s="30"/>
      <c r="K55" s="30"/>
      <c r="L55" s="30"/>
      <c r="M55" s="30"/>
      <c r="N55" s="30"/>
      <c r="O55" s="33"/>
      <c r="P55" s="33"/>
      <c r="Q55" s="33"/>
      <c r="R55" s="33"/>
      <c r="S55" s="33"/>
      <c r="T55" s="33"/>
      <c r="U55" s="33"/>
      <c r="V55" s="33"/>
      <c r="W55" s="33"/>
      <c r="X55" s="33"/>
      <c r="Y55" s="33"/>
      <c r="Z55" s="33"/>
      <c r="AA55" s="33"/>
      <c r="AB55" s="33"/>
      <c r="AC55" s="33"/>
    </row>
    <row r="56" spans="1:29" ht="1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row>
    <row r="57" spans="1:29" ht="1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row>
    <row r="58" spans="1:29" ht="1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row>
    <row r="59" spans="1:29" ht="1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row>
    <row r="60" spans="1:29" ht="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row>
    <row r="61" spans="1:29" ht="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row>
    <row r="62" spans="1:29" ht="1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row>
    <row r="63" spans="1:29" ht="1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row>
    <row r="64" spans="1:29" ht="1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row>
    <row r="65" spans="1:29" ht="1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row>
    <row r="66" spans="1:29" ht="1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row>
    <row r="67" spans="1:29" ht="1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row>
    <row r="68" spans="1:29" ht="1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row>
    <row r="69" spans="1:29" ht="1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row>
    <row r="70" spans="1:29" ht="1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row>
    <row r="71" spans="1:29" ht="1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row>
    <row r="72" spans="1:29" ht="1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row>
    <row r="73" spans="1:29" ht="1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row>
    <row r="74" spans="1:29" ht="1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row>
    <row r="75" spans="1:29" ht="1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row>
    <row r="76" spans="1:29" ht="1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row>
    <row r="77" spans="1:29" ht="1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row>
    <row r="78" spans="1:29" ht="1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row>
    <row r="79" spans="1:29" ht="1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row>
    <row r="80" spans="1:29" ht="1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row>
    <row r="81" spans="1:29" ht="1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row>
    <row r="82" spans="1:29" ht="1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row>
    <row r="83" spans="1:29" ht="1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row>
    <row r="84" spans="1:29" ht="1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row>
    <row r="85" spans="1:29" ht="1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row>
    <row r="86" spans="1:29" ht="1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row>
    <row r="87" spans="1:29" ht="1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row>
    <row r="88" spans="1:29" ht="1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row>
    <row r="89" spans="1:29" ht="1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row>
    <row r="90" spans="1:29" ht="1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row>
    <row r="91" spans="1:29" ht="1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row>
    <row r="92" spans="1:29" ht="1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row>
    <row r="93" spans="1:29" ht="1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row>
    <row r="94" spans="1:29" ht="1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row>
    <row r="95" spans="1:29" ht="1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row>
  </sheetData>
  <sheetProtection password="DD49" sheet="1" objects="1" scenarios="1"/>
  <mergeCells count="6">
    <mergeCell ref="C1:D1"/>
    <mergeCell ref="I1:M1"/>
    <mergeCell ref="E44:L46"/>
    <mergeCell ref="J13:L13"/>
    <mergeCell ref="E13:G13"/>
    <mergeCell ref="F5:J5"/>
  </mergeCells>
  <dataValidations count="8">
    <dataValidation type="custom" allowBlank="1" showInputMessage="1" showErrorMessage="1" errorTitle="FIXED SYMBOL" sqref="C3">
      <formula1>"NO CHANGE REQUIRED"</formula1>
    </dataValidation>
    <dataValidation type="custom" allowBlank="1" showInputMessage="1" showErrorMessage="1" errorTitle="COPYRIGHT PROTECTION!" error="&#10;Tampering with this cell puts you in breach of copyright laws.&#10;&#10;Click 'Cancel' to end." sqref="N54">
      <formula1>"COPYRIGHT PROTECTION"</formula1>
    </dataValidation>
    <dataValidation allowBlank="1" showInputMessage="1" showErrorMessage="1" promptTitle="ENTRY FIELD" prompt="&#10;Make an appropriate entry in this cell as per the title to the left." sqref="E13 J13"/>
    <dataValidation type="custom" allowBlank="1" showInputMessage="1" showErrorMessage="1" sqref="H53 I51:J51">
      <formula1>"NO CHANGE ADVISED"</formula1>
    </dataValidation>
    <dataValidation allowBlank="1" showInputMessage="1" showErrorMessage="1" promptTitle="ENTRY FIELD" prompt="&#10;Overtype this cell with the name of your Local Education Authority." sqref="F5:J5"/>
    <dataValidation type="custom" allowBlank="1" showInputMessage="1" showErrorMessage="1" sqref="H7">
      <formula1>"NO CHANGE"</formula1>
    </dataValidation>
    <dataValidation allowBlank="1" showInputMessage="1" showErrorMessage="1" promptTitle="REFER TO 'TERMS OF USE' PAGE " prompt="&#10;The organisation name should be entered on the 'Terms of Use page." sqref="I53"/>
    <dataValidation allowBlank="1" showInputMessage="1" showErrorMessage="1" promptTitle="ENTRY FIELD" prompt="&#10;The person preparing this statement should enter their name here for reference." sqref="E49"/>
  </dataValidations>
  <hyperlinks>
    <hyperlink ref="I1:M1" location="'MANUAL COST'!A1" tooltip="To Manual Staff costing sheet" display="COST MANUAL STAFF SALARY"/>
    <hyperlink ref="F1" location="INDEX!A1" tooltip="Go to Index" display="INDEX"/>
  </hyperlinks>
  <printOptions/>
  <pageMargins left="0.35433070866141736" right="0.15748031496062992" top="0.3937007874015748" bottom="0.7874015748031497" header="0.5118110236220472" footer="0.5118110236220472"/>
  <pageSetup blackAndWhite="1" fitToHeight="1" fitToWidth="1"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AC95"/>
  <sheetViews>
    <sheetView showGridLines="0" showRowColHeaders="0" zoomScale="75" zoomScaleNormal="75" workbookViewId="0" topLeftCell="A1">
      <pane ySplit="1" topLeftCell="BM2" activePane="bottomLeft" state="frozen"/>
      <selection pane="topLeft" activeCell="K12" sqref="K12:L12"/>
      <selection pane="bottomLeft" activeCell="F1" sqref="F1"/>
    </sheetView>
  </sheetViews>
  <sheetFormatPr defaultColWidth="8.88671875" defaultRowHeight="0" customHeight="1" zeroHeight="1"/>
  <cols>
    <col min="1" max="1" width="1.77734375" style="9" customWidth="1"/>
    <col min="2" max="2" width="0.78125" style="9" customWidth="1"/>
    <col min="3" max="3" width="4.6640625" style="9" customWidth="1"/>
    <col min="4" max="5" width="10.77734375" style="9" customWidth="1"/>
    <col min="6" max="6" width="12.6640625" style="9" customWidth="1"/>
    <col min="7" max="7" width="12.5546875" style="9" customWidth="1"/>
    <col min="8" max="8" width="13.10546875" style="9" customWidth="1"/>
    <col min="9" max="9" width="10.77734375" style="9" customWidth="1"/>
    <col min="10" max="10" width="11.21484375" style="9" customWidth="1"/>
    <col min="11" max="11" width="12.6640625" style="9" customWidth="1"/>
    <col min="12" max="12" width="10.77734375" style="9" customWidth="1"/>
    <col min="13" max="13" width="4.77734375" style="9" customWidth="1"/>
    <col min="14" max="14" width="0.671875" style="9" customWidth="1"/>
    <col min="15" max="15" width="2.77734375" style="9" customWidth="1"/>
    <col min="16" max="16" width="2.88671875" style="9" customWidth="1"/>
    <col min="17" max="17" width="2.77734375" style="9" customWidth="1"/>
    <col min="18" max="18" width="8.77734375" style="9" customWidth="1"/>
    <col min="19" max="19" width="16.6640625" style="9" customWidth="1"/>
    <col min="20" max="21" width="8.77734375" style="9" customWidth="1"/>
    <col min="22" max="22" width="2.77734375" style="9" customWidth="1"/>
    <col min="23" max="29" width="8.88671875" style="9" customWidth="1"/>
    <col min="30" max="16384" width="0" style="9" hidden="1" customWidth="1"/>
  </cols>
  <sheetData>
    <row r="1" spans="1:29" ht="30" customHeight="1">
      <c r="A1" s="33"/>
      <c r="B1" s="33"/>
      <c r="C1" s="1104"/>
      <c r="D1" s="1104"/>
      <c r="E1" s="33"/>
      <c r="F1" s="583" t="s">
        <v>244</v>
      </c>
      <c r="G1" s="33"/>
      <c r="H1" s="572"/>
      <c r="I1" s="1103" t="s">
        <v>260</v>
      </c>
      <c r="J1" s="1119"/>
      <c r="K1" s="1119"/>
      <c r="L1" s="1119"/>
      <c r="M1" s="1119"/>
      <c r="N1" s="33"/>
      <c r="O1" s="33"/>
      <c r="P1" s="33"/>
      <c r="Q1" s="33"/>
      <c r="R1" s="33"/>
      <c r="S1" s="33"/>
      <c r="T1" s="33"/>
      <c r="U1" s="33"/>
      <c r="V1" s="33"/>
      <c r="W1" s="33"/>
      <c r="X1" s="33"/>
      <c r="Y1" s="33"/>
      <c r="Z1" s="33"/>
      <c r="AA1" s="33"/>
      <c r="AB1" s="33"/>
      <c r="AC1" s="33"/>
    </row>
    <row r="2" spans="1:29" ht="24"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row>
    <row r="3" spans="1:29" ht="4.5" customHeight="1" thickBot="1">
      <c r="A3" s="33"/>
      <c r="B3" s="30"/>
      <c r="C3" s="31"/>
      <c r="D3" s="30"/>
      <c r="E3" s="30"/>
      <c r="F3" s="30"/>
      <c r="G3" s="30"/>
      <c r="H3" s="30"/>
      <c r="I3" s="30"/>
      <c r="J3" s="30"/>
      <c r="K3" s="30"/>
      <c r="L3" s="30"/>
      <c r="M3" s="30"/>
      <c r="N3" s="30"/>
      <c r="O3" s="33"/>
      <c r="P3" s="33"/>
      <c r="Q3" s="33"/>
      <c r="R3" s="33"/>
      <c r="S3" s="33"/>
      <c r="T3" s="33"/>
      <c r="U3" s="33"/>
      <c r="V3" s="33"/>
      <c r="W3" s="33"/>
      <c r="X3" s="33"/>
      <c r="Y3" s="33"/>
      <c r="Z3" s="33"/>
      <c r="AA3" s="33"/>
      <c r="AB3" s="33"/>
      <c r="AC3" s="33"/>
    </row>
    <row r="4" spans="1:29" ht="11.25" customHeight="1">
      <c r="A4" s="33"/>
      <c r="B4" s="30"/>
      <c r="C4" s="512"/>
      <c r="D4" s="110"/>
      <c r="E4" s="110"/>
      <c r="F4" s="110"/>
      <c r="G4" s="110"/>
      <c r="H4" s="110"/>
      <c r="I4" s="110"/>
      <c r="J4" s="110"/>
      <c r="K4" s="110"/>
      <c r="L4" s="110"/>
      <c r="M4" s="112"/>
      <c r="N4" s="30"/>
      <c r="O4" s="33"/>
      <c r="P4" s="33"/>
      <c r="Q4" s="33"/>
      <c r="R4" s="33"/>
      <c r="S4" s="33"/>
      <c r="T4" s="33"/>
      <c r="U4" s="33"/>
      <c r="V4" s="33"/>
      <c r="W4" s="33"/>
      <c r="X4" s="33"/>
      <c r="Y4" s="33"/>
      <c r="Z4" s="33"/>
      <c r="AA4" s="33"/>
      <c r="AB4" s="33"/>
      <c r="AC4" s="33"/>
    </row>
    <row r="5" spans="1:29" ht="25.5" customHeight="1">
      <c r="A5" s="33"/>
      <c r="B5" s="30"/>
      <c r="C5" s="115"/>
      <c r="D5" s="24"/>
      <c r="E5" s="24"/>
      <c r="F5" s="1117" t="str">
        <f>'Terms of Use'!H7</f>
        <v>LONDON BOROUGH OF RICHMOND UPON THAMES</v>
      </c>
      <c r="G5" s="1118"/>
      <c r="H5" s="1118"/>
      <c r="I5" s="1118"/>
      <c r="J5" s="1118"/>
      <c r="K5" s="514"/>
      <c r="L5" s="514"/>
      <c r="M5" s="114"/>
      <c r="N5" s="30"/>
      <c r="O5" s="33"/>
      <c r="P5" s="33"/>
      <c r="Q5" s="33"/>
      <c r="R5" s="33"/>
      <c r="S5" s="33"/>
      <c r="T5" s="33"/>
      <c r="U5" s="33"/>
      <c r="V5" s="33"/>
      <c r="W5" s="33"/>
      <c r="X5" s="33"/>
      <c r="Y5" s="33"/>
      <c r="Z5" s="33"/>
      <c r="AA5" s="33"/>
      <c r="AB5" s="33"/>
      <c r="AC5" s="33"/>
    </row>
    <row r="6" spans="1:29" ht="15">
      <c r="A6" s="33"/>
      <c r="B6" s="30"/>
      <c r="C6" s="113"/>
      <c r="D6" s="24"/>
      <c r="E6" s="24"/>
      <c r="F6" s="24"/>
      <c r="G6" s="24"/>
      <c r="H6" s="24"/>
      <c r="I6" s="24"/>
      <c r="J6" s="24"/>
      <c r="K6" s="24"/>
      <c r="L6" s="24"/>
      <c r="M6" s="114"/>
      <c r="N6" s="30"/>
      <c r="O6" s="33"/>
      <c r="P6" s="33"/>
      <c r="Q6" s="33"/>
      <c r="R6" s="33"/>
      <c r="S6" s="33"/>
      <c r="T6" s="33"/>
      <c r="U6" s="33"/>
      <c r="V6" s="33"/>
      <c r="W6" s="33"/>
      <c r="X6" s="33"/>
      <c r="Y6" s="33"/>
      <c r="Z6" s="33"/>
      <c r="AA6" s="33"/>
      <c r="AB6" s="33"/>
      <c r="AC6" s="33"/>
    </row>
    <row r="7" spans="1:29" ht="25.5" customHeight="1">
      <c r="A7" s="33"/>
      <c r="B7" s="30"/>
      <c r="C7" s="113"/>
      <c r="D7" s="24"/>
      <c r="E7" s="24"/>
      <c r="F7" s="24"/>
      <c r="G7" s="24"/>
      <c r="H7" s="571" t="str">
        <f>'Terms of Use'!H31</f>
        <v>SELECT SCHOOL NAME FROM LIST</v>
      </c>
      <c r="I7" s="24"/>
      <c r="J7" s="24"/>
      <c r="K7" s="24"/>
      <c r="L7" s="24"/>
      <c r="M7" s="114"/>
      <c r="N7" s="30"/>
      <c r="O7" s="33"/>
      <c r="P7" s="33"/>
      <c r="Q7" s="33"/>
      <c r="R7" s="33"/>
      <c r="S7" s="33"/>
      <c r="T7" s="33"/>
      <c r="U7" s="33"/>
      <c r="V7" s="33"/>
      <c r="W7" s="33"/>
      <c r="X7" s="33"/>
      <c r="Y7" s="33"/>
      <c r="Z7" s="33"/>
      <c r="AA7" s="33"/>
      <c r="AB7" s="33"/>
      <c r="AC7" s="33"/>
    </row>
    <row r="8" spans="1:29" ht="15">
      <c r="A8" s="33"/>
      <c r="B8" s="30"/>
      <c r="C8" s="113"/>
      <c r="D8" s="24"/>
      <c r="E8" s="24"/>
      <c r="F8" s="24"/>
      <c r="G8" s="24"/>
      <c r="H8" s="24"/>
      <c r="I8" s="24"/>
      <c r="J8" s="24"/>
      <c r="K8" s="24"/>
      <c r="L8" s="24"/>
      <c r="M8" s="114"/>
      <c r="N8" s="30"/>
      <c r="O8" s="33"/>
      <c r="P8" s="33"/>
      <c r="Q8" s="33"/>
      <c r="R8" s="33"/>
      <c r="S8" s="33"/>
      <c r="T8" s="33"/>
      <c r="U8" s="33"/>
      <c r="V8" s="33"/>
      <c r="W8" s="33"/>
      <c r="X8" s="33"/>
      <c r="Y8" s="33"/>
      <c r="Z8" s="33"/>
      <c r="AA8" s="33"/>
      <c r="AB8" s="33"/>
      <c r="AC8" s="33"/>
    </row>
    <row r="9" spans="1:29" ht="25.5" customHeight="1">
      <c r="A9" s="33"/>
      <c r="B9" s="30"/>
      <c r="C9" s="113"/>
      <c r="D9" s="569"/>
      <c r="E9" s="569"/>
      <c r="F9" s="569"/>
      <c r="G9" s="568"/>
      <c r="H9" s="568"/>
      <c r="I9" s="569"/>
      <c r="J9" s="564" t="s">
        <v>220</v>
      </c>
      <c r="K9" s="570">
        <f>'Salary Scales'!G70</f>
        <v>38443</v>
      </c>
      <c r="L9" s="24"/>
      <c r="M9" s="114"/>
      <c r="N9" s="30"/>
      <c r="O9" s="33"/>
      <c r="P9" s="33"/>
      <c r="Q9" s="33"/>
      <c r="R9" s="33"/>
      <c r="S9" s="33"/>
      <c r="T9" s="33"/>
      <c r="U9" s="33"/>
      <c r="V9" s="33"/>
      <c r="W9" s="33"/>
      <c r="X9" s="33"/>
      <c r="Y9" s="33"/>
      <c r="Z9" s="33"/>
      <c r="AA9" s="33"/>
      <c r="AB9" s="33"/>
      <c r="AC9" s="33"/>
    </row>
    <row r="10" spans="1:29" ht="6.75" customHeight="1">
      <c r="A10" s="33"/>
      <c r="B10" s="30"/>
      <c r="C10" s="113"/>
      <c r="D10" s="517"/>
      <c r="E10" s="517"/>
      <c r="F10" s="517"/>
      <c r="G10" s="517"/>
      <c r="H10" s="517"/>
      <c r="I10" s="517"/>
      <c r="J10" s="517"/>
      <c r="K10" s="517"/>
      <c r="L10" s="517"/>
      <c r="M10" s="114"/>
      <c r="N10" s="30"/>
      <c r="O10" s="33"/>
      <c r="P10" s="33"/>
      <c r="Q10" s="33"/>
      <c r="R10" s="33"/>
      <c r="S10" s="33"/>
      <c r="T10" s="33"/>
      <c r="U10" s="33"/>
      <c r="V10" s="33"/>
      <c r="W10" s="33"/>
      <c r="X10" s="33"/>
      <c r="Y10" s="33"/>
      <c r="Z10" s="33"/>
      <c r="AA10" s="33"/>
      <c r="AB10" s="33"/>
      <c r="AC10" s="33"/>
    </row>
    <row r="11" spans="1:29" ht="15">
      <c r="A11" s="33"/>
      <c r="B11" s="30"/>
      <c r="C11" s="113"/>
      <c r="D11" s="24"/>
      <c r="E11" s="24"/>
      <c r="F11" s="24"/>
      <c r="G11" s="24"/>
      <c r="H11" s="24"/>
      <c r="I11" s="24"/>
      <c r="J11" s="24"/>
      <c r="K11" s="515"/>
      <c r="M11" s="114"/>
      <c r="N11" s="30"/>
      <c r="O11" s="33"/>
      <c r="P11" s="33"/>
      <c r="Q11" s="33"/>
      <c r="R11" s="33"/>
      <c r="S11" s="33"/>
      <c r="T11" s="33"/>
      <c r="U11" s="33"/>
      <c r="V11" s="33"/>
      <c r="W11" s="33"/>
      <c r="X11" s="33"/>
      <c r="Y11" s="33"/>
      <c r="Z11" s="33"/>
      <c r="AA11" s="33"/>
      <c r="AB11" s="33"/>
      <c r="AC11" s="33"/>
    </row>
    <row r="12" spans="1:29" ht="25.5" customHeight="1">
      <c r="A12" s="33"/>
      <c r="B12" s="30"/>
      <c r="C12" s="113"/>
      <c r="D12" s="24"/>
      <c r="E12" s="24"/>
      <c r="F12" s="24"/>
      <c r="G12" s="24"/>
      <c r="H12" s="24"/>
      <c r="I12" s="24"/>
      <c r="J12" s="24"/>
      <c r="K12" s="24"/>
      <c r="L12" s="24"/>
      <c r="M12" s="114"/>
      <c r="N12" s="30"/>
      <c r="O12" s="33"/>
      <c r="P12" s="33"/>
      <c r="Q12" s="33"/>
      <c r="R12" s="33"/>
      <c r="S12" s="33"/>
      <c r="T12" s="33"/>
      <c r="U12" s="33"/>
      <c r="V12" s="33"/>
      <c r="W12" s="33"/>
      <c r="X12" s="33"/>
      <c r="Y12" s="33"/>
      <c r="Z12" s="33"/>
      <c r="AA12" s="33"/>
      <c r="AB12" s="33"/>
      <c r="AC12" s="33"/>
    </row>
    <row r="13" spans="1:29" ht="18">
      <c r="A13" s="33"/>
      <c r="B13" s="30"/>
      <c r="C13" s="113"/>
      <c r="D13" s="540" t="s">
        <v>222</v>
      </c>
      <c r="E13" s="1115"/>
      <c r="F13" s="1116"/>
      <c r="G13" s="1116"/>
      <c r="H13" s="514"/>
      <c r="I13" s="567" t="s">
        <v>219</v>
      </c>
      <c r="J13" s="1115"/>
      <c r="K13" s="1116"/>
      <c r="L13" s="1116"/>
      <c r="M13" s="114"/>
      <c r="N13" s="30"/>
      <c r="O13" s="33"/>
      <c r="P13" s="33"/>
      <c r="Q13" s="33"/>
      <c r="R13" s="33"/>
      <c r="S13" s="33"/>
      <c r="T13" s="33"/>
      <c r="U13" s="33"/>
      <c r="V13" s="33"/>
      <c r="W13" s="33"/>
      <c r="X13" s="33"/>
      <c r="Y13" s="33"/>
      <c r="Z13" s="33"/>
      <c r="AA13" s="33"/>
      <c r="AB13" s="33"/>
      <c r="AC13" s="33"/>
    </row>
    <row r="14" spans="1:29" ht="20.25" customHeight="1">
      <c r="A14" s="33"/>
      <c r="B14" s="30"/>
      <c r="C14" s="113"/>
      <c r="D14" s="24"/>
      <c r="E14" s="24"/>
      <c r="F14" s="24"/>
      <c r="G14" s="24"/>
      <c r="H14" s="24"/>
      <c r="I14" s="24"/>
      <c r="J14" s="24"/>
      <c r="K14" s="24"/>
      <c r="L14" s="24"/>
      <c r="M14" s="114"/>
      <c r="N14" s="30"/>
      <c r="O14" s="33"/>
      <c r="P14" s="33"/>
      <c r="Q14" s="33"/>
      <c r="R14" s="33"/>
      <c r="S14" s="33"/>
      <c r="T14" s="33"/>
      <c r="U14" s="33"/>
      <c r="V14" s="33"/>
      <c r="W14" s="33"/>
      <c r="X14" s="33"/>
      <c r="Y14" s="33"/>
      <c r="Z14" s="33"/>
      <c r="AA14" s="33"/>
      <c r="AB14" s="33"/>
      <c r="AC14" s="33"/>
    </row>
    <row r="15" spans="1:29" ht="20.25" customHeight="1">
      <c r="A15" s="33"/>
      <c r="B15" s="30"/>
      <c r="C15" s="113"/>
      <c r="D15" s="24"/>
      <c r="E15" s="24"/>
      <c r="F15" s="24"/>
      <c r="G15" s="24"/>
      <c r="H15" s="24"/>
      <c r="I15" s="24"/>
      <c r="J15" s="24"/>
      <c r="K15" s="24"/>
      <c r="L15" s="24"/>
      <c r="M15" s="114"/>
      <c r="N15" s="30"/>
      <c r="O15" s="33"/>
      <c r="P15" s="33"/>
      <c r="Q15" s="33"/>
      <c r="R15" s="33"/>
      <c r="S15" s="33"/>
      <c r="T15" s="33"/>
      <c r="U15" s="33"/>
      <c r="V15" s="33"/>
      <c r="W15" s="33"/>
      <c r="X15" s="33"/>
      <c r="Y15" s="33"/>
      <c r="Z15" s="33"/>
      <c r="AA15" s="33"/>
      <c r="AB15" s="33"/>
      <c r="AC15" s="33"/>
    </row>
    <row r="16" spans="1:29" ht="20.25" customHeight="1">
      <c r="A16" s="33"/>
      <c r="B16" s="30"/>
      <c r="C16" s="118"/>
      <c r="E16" s="565" t="s">
        <v>223</v>
      </c>
      <c r="F16" s="578">
        <f>SUM('APTC COST'!F13:F17)</f>
        <v>21</v>
      </c>
      <c r="H16" s="565" t="s">
        <v>224</v>
      </c>
      <c r="I16" s="579">
        <f>SUM('APTC COST'!G13:G17)</f>
        <v>24</v>
      </c>
      <c r="K16" s="565" t="s">
        <v>225</v>
      </c>
      <c r="L16" s="578">
        <f>SUM('APTC COST'!H13:H17)</f>
        <v>40</v>
      </c>
      <c r="M16" s="521"/>
      <c r="N16" s="30"/>
      <c r="O16" s="33"/>
      <c r="P16" s="33"/>
      <c r="Q16" s="33"/>
      <c r="R16" s="33"/>
      <c r="S16" s="33"/>
      <c r="T16" s="33"/>
      <c r="U16" s="33"/>
      <c r="V16" s="33"/>
      <c r="W16" s="33"/>
      <c r="X16" s="33"/>
      <c r="Y16" s="33"/>
      <c r="Z16" s="33"/>
      <c r="AA16" s="33"/>
      <c r="AB16" s="33"/>
      <c r="AC16" s="33"/>
    </row>
    <row r="17" spans="1:29" ht="20.25" customHeight="1">
      <c r="A17" s="33"/>
      <c r="B17" s="30"/>
      <c r="C17" s="118"/>
      <c r="E17" s="565"/>
      <c r="F17" s="564"/>
      <c r="H17" s="565"/>
      <c r="I17" s="563"/>
      <c r="K17" s="565"/>
      <c r="L17" s="564"/>
      <c r="M17" s="521"/>
      <c r="N17" s="30"/>
      <c r="O17" s="33"/>
      <c r="P17" s="33"/>
      <c r="Q17" s="33"/>
      <c r="R17" s="33"/>
      <c r="S17" s="33"/>
      <c r="T17" s="33"/>
      <c r="U17" s="33"/>
      <c r="V17" s="33"/>
      <c r="W17" s="33"/>
      <c r="X17" s="33"/>
      <c r="Y17" s="33"/>
      <c r="Z17" s="33"/>
      <c r="AA17" s="33"/>
      <c r="AB17" s="33"/>
      <c r="AC17" s="33"/>
    </row>
    <row r="18" spans="1:29" ht="20.25" customHeight="1">
      <c r="A18" s="33"/>
      <c r="B18" s="30"/>
      <c r="C18" s="118"/>
      <c r="D18" s="518"/>
      <c r="E18" s="518"/>
      <c r="F18" s="518"/>
      <c r="G18" s="518"/>
      <c r="H18" s="518"/>
      <c r="I18" s="518"/>
      <c r="J18" s="518"/>
      <c r="K18" s="518"/>
      <c r="L18" s="518"/>
      <c r="M18" s="521"/>
      <c r="N18" s="30"/>
      <c r="O18" s="33"/>
      <c r="P18" s="33"/>
      <c r="Q18" s="33"/>
      <c r="R18" s="33"/>
      <c r="S18" s="33"/>
      <c r="T18" s="33"/>
      <c r="U18" s="33"/>
      <c r="V18" s="33"/>
      <c r="W18" s="33"/>
      <c r="X18" s="33"/>
      <c r="Y18" s="33"/>
      <c r="Z18" s="33"/>
      <c r="AA18" s="33"/>
      <c r="AB18" s="33"/>
      <c r="AC18" s="33"/>
    </row>
    <row r="19" spans="1:29" ht="20.25" customHeight="1">
      <c r="A19" s="33"/>
      <c r="B19" s="30"/>
      <c r="C19" s="118"/>
      <c r="E19" s="565" t="s">
        <v>226</v>
      </c>
      <c r="F19" s="579">
        <f>SUM('APTC COST'!J13:J17)</f>
        <v>5.22</v>
      </c>
      <c r="G19" s="518"/>
      <c r="H19" s="565" t="s">
        <v>227</v>
      </c>
      <c r="I19" s="580">
        <f>SUM('APTC COST'!L13:L17)</f>
        <v>0</v>
      </c>
      <c r="J19" s="518"/>
      <c r="K19" s="565" t="s">
        <v>228</v>
      </c>
      <c r="L19" s="579">
        <f>SUM('APTC COST'!O13:O17)</f>
        <v>0.5797435897435897</v>
      </c>
      <c r="M19" s="521"/>
      <c r="N19" s="30"/>
      <c r="O19" s="33"/>
      <c r="P19" s="33"/>
      <c r="Q19" s="33"/>
      <c r="R19" s="33"/>
      <c r="S19" s="33"/>
      <c r="T19" s="33"/>
      <c r="U19" s="33"/>
      <c r="V19" s="33"/>
      <c r="W19" s="33"/>
      <c r="X19" s="33"/>
      <c r="Y19" s="33"/>
      <c r="Z19" s="33"/>
      <c r="AA19" s="33"/>
      <c r="AB19" s="33"/>
      <c r="AC19" s="33"/>
    </row>
    <row r="20" spans="1:29" ht="20.25" customHeight="1">
      <c r="A20" s="33"/>
      <c r="B20" s="30"/>
      <c r="C20" s="118"/>
      <c r="E20" s="565"/>
      <c r="F20" s="563"/>
      <c r="G20" s="518"/>
      <c r="H20" s="565"/>
      <c r="I20" s="566"/>
      <c r="J20" s="518"/>
      <c r="K20" s="565"/>
      <c r="L20" s="563"/>
      <c r="M20" s="521"/>
      <c r="N20" s="30"/>
      <c r="O20" s="33"/>
      <c r="P20" s="33"/>
      <c r="Q20" s="33"/>
      <c r="R20" s="33"/>
      <c r="S20" s="33"/>
      <c r="T20" s="33"/>
      <c r="U20" s="33"/>
      <c r="V20" s="33"/>
      <c r="W20" s="33"/>
      <c r="X20" s="33"/>
      <c r="Y20" s="33"/>
      <c r="Z20" s="33"/>
      <c r="AA20" s="33"/>
      <c r="AB20" s="33"/>
      <c r="AC20" s="33"/>
    </row>
    <row r="21" spans="1:29" ht="20.25" customHeight="1">
      <c r="A21" s="33"/>
      <c r="B21" s="30"/>
      <c r="C21" s="118"/>
      <c r="E21" s="520"/>
      <c r="F21" s="526"/>
      <c r="G21" s="518"/>
      <c r="H21" s="520"/>
      <c r="I21" s="527"/>
      <c r="J21" s="518"/>
      <c r="K21" s="520"/>
      <c r="L21" s="526"/>
      <c r="M21" s="521"/>
      <c r="N21" s="30"/>
      <c r="O21" s="33"/>
      <c r="P21" s="33"/>
      <c r="Q21" s="33"/>
      <c r="R21" s="33"/>
      <c r="S21" s="33"/>
      <c r="T21" s="33"/>
      <c r="U21" s="33"/>
      <c r="V21" s="33"/>
      <c r="W21" s="33"/>
      <c r="X21" s="33"/>
      <c r="Y21" s="33"/>
      <c r="Z21" s="33"/>
      <c r="AA21" s="33"/>
      <c r="AB21" s="33"/>
      <c r="AC21" s="33"/>
    </row>
    <row r="22" spans="1:29" ht="20.25" customHeight="1">
      <c r="A22" s="33"/>
      <c r="B22" s="30"/>
      <c r="C22" s="118"/>
      <c r="E22" s="520"/>
      <c r="F22" s="560" t="s">
        <v>235</v>
      </c>
      <c r="G22" s="561" t="str">
        <f>F19&amp;" Weeks"</f>
        <v>5.22 Weeks</v>
      </c>
      <c r="H22" s="562" t="str">
        <f>IF(F19=0,"",VLOOKUP(F19,'APTC COST'!P21:Q31,2))</f>
        <v>  X  hours per week  (Less than 5 years service, up to SCP 21)</v>
      </c>
      <c r="I22" s="527"/>
      <c r="J22" s="518"/>
      <c r="K22" s="520"/>
      <c r="L22" s="526"/>
      <c r="M22" s="521"/>
      <c r="N22" s="30"/>
      <c r="O22" s="33"/>
      <c r="P22" s="33"/>
      <c r="Q22" s="33"/>
      <c r="R22" s="33"/>
      <c r="S22" s="33"/>
      <c r="T22" s="33"/>
      <c r="U22" s="33"/>
      <c r="V22" s="33"/>
      <c r="W22" s="33"/>
      <c r="X22" s="33"/>
      <c r="Y22" s="33"/>
      <c r="Z22" s="33"/>
      <c r="AA22" s="33"/>
      <c r="AB22" s="33"/>
      <c r="AC22" s="33"/>
    </row>
    <row r="23" spans="1:29" ht="21" customHeight="1">
      <c r="A23" s="33"/>
      <c r="B23" s="30"/>
      <c r="C23" s="118"/>
      <c r="D23" s="528"/>
      <c r="E23" s="529"/>
      <c r="F23" s="529"/>
      <c r="G23" s="529"/>
      <c r="H23" s="529"/>
      <c r="I23" s="529"/>
      <c r="J23" s="529"/>
      <c r="K23" s="529"/>
      <c r="L23" s="529"/>
      <c r="M23" s="521"/>
      <c r="N23" s="30"/>
      <c r="O23" s="33"/>
      <c r="P23" s="33"/>
      <c r="Q23" s="33"/>
      <c r="R23" s="33"/>
      <c r="S23" s="33"/>
      <c r="T23" s="33"/>
      <c r="U23" s="33"/>
      <c r="V23" s="33"/>
      <c r="W23" s="33"/>
      <c r="X23" s="33"/>
      <c r="Y23" s="33"/>
      <c r="Z23" s="33"/>
      <c r="AA23" s="33"/>
      <c r="AB23" s="33"/>
      <c r="AC23" s="33"/>
    </row>
    <row r="24" spans="1:29" ht="15.75" customHeight="1">
      <c r="A24" s="33"/>
      <c r="B24" s="30"/>
      <c r="C24" s="118"/>
      <c r="D24" s="520"/>
      <c r="E24" s="518"/>
      <c r="F24" s="518"/>
      <c r="G24" s="518"/>
      <c r="H24" s="518"/>
      <c r="I24" s="518"/>
      <c r="J24" s="518"/>
      <c r="K24" s="518"/>
      <c r="L24" s="518"/>
      <c r="M24" s="521"/>
      <c r="N24" s="30"/>
      <c r="O24" s="33"/>
      <c r="P24" s="33"/>
      <c r="Q24" s="33"/>
      <c r="R24" s="33"/>
      <c r="S24" s="33"/>
      <c r="T24" s="33"/>
      <c r="U24" s="33"/>
      <c r="V24" s="33"/>
      <c r="W24" s="33"/>
      <c r="X24" s="33"/>
      <c r="Y24" s="33"/>
      <c r="Z24" s="33"/>
      <c r="AA24" s="33"/>
      <c r="AB24" s="33"/>
      <c r="AC24" s="33"/>
    </row>
    <row r="25" spans="1:29" ht="30" customHeight="1">
      <c r="A25" s="33"/>
      <c r="B25" s="30"/>
      <c r="C25" s="118"/>
      <c r="D25" s="518"/>
      <c r="E25" s="518"/>
      <c r="F25" s="518"/>
      <c r="G25" s="518"/>
      <c r="H25" s="518"/>
      <c r="I25" s="518"/>
      <c r="J25" s="518"/>
      <c r="K25" s="518"/>
      <c r="L25" s="518"/>
      <c r="M25" s="521"/>
      <c r="N25" s="30"/>
      <c r="O25" s="33"/>
      <c r="P25" s="33"/>
      <c r="Q25" s="33"/>
      <c r="R25" s="33"/>
      <c r="S25" s="33"/>
      <c r="T25" s="33"/>
      <c r="U25" s="33"/>
      <c r="V25" s="33"/>
      <c r="W25" s="33"/>
      <c r="X25" s="33"/>
      <c r="Y25" s="33"/>
      <c r="Z25" s="33"/>
      <c r="AA25" s="33"/>
      <c r="AB25" s="33"/>
      <c r="AC25" s="33"/>
    </row>
    <row r="26" spans="1:29" ht="17.25" customHeight="1">
      <c r="A26" s="33"/>
      <c r="B26" s="30"/>
      <c r="C26" s="118"/>
      <c r="D26" s="530"/>
      <c r="E26" s="531"/>
      <c r="F26" s="531"/>
      <c r="G26" s="531"/>
      <c r="H26" s="531"/>
      <c r="I26" s="531"/>
      <c r="J26" s="531"/>
      <c r="K26" s="531"/>
      <c r="L26" s="532"/>
      <c r="M26" s="521"/>
      <c r="N26" s="30"/>
      <c r="O26" s="33"/>
      <c r="P26" s="33"/>
      <c r="Q26" s="33"/>
      <c r="R26" s="33"/>
      <c r="S26" s="33"/>
      <c r="T26" s="33"/>
      <c r="U26" s="33"/>
      <c r="V26" s="33"/>
      <c r="W26" s="33"/>
      <c r="X26" s="33"/>
      <c r="Y26" s="33"/>
      <c r="Z26" s="33"/>
      <c r="AA26" s="33"/>
      <c r="AB26" s="33"/>
      <c r="AC26" s="33"/>
    </row>
    <row r="27" spans="1:29" ht="20.25" customHeight="1">
      <c r="A27" s="33"/>
      <c r="B27" s="30"/>
      <c r="C27" s="118"/>
      <c r="D27" s="555" t="s">
        <v>242</v>
      </c>
      <c r="E27" s="551"/>
      <c r="F27" s="551"/>
      <c r="G27" s="551"/>
      <c r="H27" s="551"/>
      <c r="I27" s="551"/>
      <c r="J27" s="551"/>
      <c r="K27" s="551"/>
      <c r="L27" s="552"/>
      <c r="M27" s="521"/>
      <c r="N27" s="30"/>
      <c r="O27" s="33"/>
      <c r="P27" s="33"/>
      <c r="Q27" s="33"/>
      <c r="R27" s="33"/>
      <c r="S27" s="33"/>
      <c r="T27" s="33"/>
      <c r="U27" s="33"/>
      <c r="V27" s="33"/>
      <c r="W27" s="33"/>
      <c r="X27" s="33"/>
      <c r="Y27" s="33"/>
      <c r="Z27" s="33"/>
      <c r="AA27" s="33"/>
      <c r="AB27" s="33"/>
      <c r="AC27" s="33"/>
    </row>
    <row r="28" spans="1:29" ht="20.25" customHeight="1">
      <c r="A28" s="33"/>
      <c r="B28" s="30"/>
      <c r="C28" s="118"/>
      <c r="D28" s="533"/>
      <c r="E28" s="534"/>
      <c r="F28" s="534"/>
      <c r="G28" s="534"/>
      <c r="H28" s="534"/>
      <c r="I28" s="534"/>
      <c r="J28" s="534"/>
      <c r="K28" s="534"/>
      <c r="L28" s="535"/>
      <c r="M28" s="521"/>
      <c r="N28" s="30"/>
      <c r="O28" s="33"/>
      <c r="P28" s="33"/>
      <c r="Q28" s="33"/>
      <c r="R28" s="33"/>
      <c r="S28" s="33"/>
      <c r="T28" s="33"/>
      <c r="U28" s="33"/>
      <c r="V28" s="33"/>
      <c r="W28" s="33"/>
      <c r="X28" s="33"/>
      <c r="Y28" s="33"/>
      <c r="Z28" s="33"/>
      <c r="AA28" s="33"/>
      <c r="AB28" s="33"/>
      <c r="AC28" s="33"/>
    </row>
    <row r="29" spans="1:29" ht="20.25" customHeight="1">
      <c r="A29" s="33"/>
      <c r="B29" s="30"/>
      <c r="C29" s="118"/>
      <c r="D29" s="533"/>
      <c r="E29" s="534"/>
      <c r="F29" s="534"/>
      <c r="G29" s="534"/>
      <c r="H29" s="534"/>
      <c r="I29" s="534"/>
      <c r="J29" s="534"/>
      <c r="K29" s="534"/>
      <c r="L29" s="535"/>
      <c r="M29" s="521"/>
      <c r="N29" s="30"/>
      <c r="O29" s="33"/>
      <c r="P29" s="33"/>
      <c r="Q29" s="33"/>
      <c r="R29" s="33"/>
      <c r="S29" s="33"/>
      <c r="T29" s="33"/>
      <c r="U29" s="33"/>
      <c r="V29" s="33"/>
      <c r="W29" s="33"/>
      <c r="X29" s="33"/>
      <c r="Y29" s="33"/>
      <c r="Z29" s="33"/>
      <c r="AA29" s="33"/>
      <c r="AB29" s="33"/>
      <c r="AC29" s="33"/>
    </row>
    <row r="30" spans="1:29" ht="20.25" customHeight="1">
      <c r="A30" s="33"/>
      <c r="B30" s="30"/>
      <c r="C30" s="118"/>
      <c r="D30" s="533"/>
      <c r="E30" s="534"/>
      <c r="F30" s="534"/>
      <c r="G30" s="558" t="s">
        <v>236</v>
      </c>
      <c r="H30" s="556">
        <f>SUM('APTC COST'!P13:Q17)</f>
        <v>10735.691794871795</v>
      </c>
      <c r="I30" s="559" t="s">
        <v>238</v>
      </c>
      <c r="J30" s="534"/>
      <c r="K30" s="534"/>
      <c r="L30" s="535"/>
      <c r="M30" s="521"/>
      <c r="N30" s="30"/>
      <c r="O30" s="33"/>
      <c r="P30" s="33"/>
      <c r="Q30" s="33"/>
      <c r="R30" s="33"/>
      <c r="S30" s="33"/>
      <c r="T30" s="33"/>
      <c r="U30" s="33"/>
      <c r="V30" s="33"/>
      <c r="W30" s="33"/>
      <c r="X30" s="33"/>
      <c r="Y30" s="33"/>
      <c r="Z30" s="33"/>
      <c r="AA30" s="33"/>
      <c r="AB30" s="33"/>
      <c r="AC30" s="33"/>
    </row>
    <row r="31" spans="1:29" ht="16.5" customHeight="1">
      <c r="A31" s="33"/>
      <c r="B31" s="30"/>
      <c r="C31" s="118"/>
      <c r="D31" s="533"/>
      <c r="E31" s="534"/>
      <c r="F31" s="534"/>
      <c r="G31" s="534"/>
      <c r="H31" s="550"/>
      <c r="I31" s="534"/>
      <c r="J31" s="534"/>
      <c r="K31" s="534"/>
      <c r="L31" s="535"/>
      <c r="M31" s="521"/>
      <c r="N31" s="30"/>
      <c r="O31" s="33"/>
      <c r="P31" s="33"/>
      <c r="Q31" s="33"/>
      <c r="R31" s="33"/>
      <c r="S31" s="33"/>
      <c r="T31" s="33"/>
      <c r="U31" s="33"/>
      <c r="V31" s="33"/>
      <c r="W31" s="33"/>
      <c r="X31" s="33"/>
      <c r="Y31" s="33"/>
      <c r="Z31" s="33"/>
      <c r="AA31" s="33"/>
      <c r="AB31" s="33"/>
      <c r="AC31" s="33"/>
    </row>
    <row r="32" spans="1:29" ht="20.25" customHeight="1">
      <c r="A32" s="33"/>
      <c r="B32" s="30"/>
      <c r="C32" s="118"/>
      <c r="D32" s="533"/>
      <c r="E32" s="534"/>
      <c r="F32" s="534"/>
      <c r="G32" s="558" t="s">
        <v>237</v>
      </c>
      <c r="H32" s="556">
        <f>SUM('APTC COST'!R13:R17)</f>
        <v>0</v>
      </c>
      <c r="I32" s="559" t="s">
        <v>241</v>
      </c>
      <c r="J32" s="534"/>
      <c r="K32" s="534"/>
      <c r="L32" s="535"/>
      <c r="M32" s="521"/>
      <c r="N32" s="30"/>
      <c r="O32" s="33"/>
      <c r="P32" s="33"/>
      <c r="Q32" s="33"/>
      <c r="R32" s="33"/>
      <c r="S32" s="33"/>
      <c r="T32" s="33"/>
      <c r="U32" s="33"/>
      <c r="V32" s="33"/>
      <c r="W32" s="33"/>
      <c r="X32" s="33"/>
      <c r="Y32" s="33"/>
      <c r="Z32" s="33"/>
      <c r="AA32" s="33"/>
      <c r="AB32" s="33"/>
      <c r="AC32" s="33"/>
    </row>
    <row r="33" spans="1:29" ht="16.5" customHeight="1">
      <c r="A33" s="33"/>
      <c r="B33" s="30"/>
      <c r="C33" s="118"/>
      <c r="D33" s="533"/>
      <c r="E33" s="534"/>
      <c r="F33" s="534"/>
      <c r="G33" s="550"/>
      <c r="H33" s="534"/>
      <c r="I33" s="534"/>
      <c r="J33" s="534"/>
      <c r="K33" s="534"/>
      <c r="L33" s="535"/>
      <c r="M33" s="521"/>
      <c r="N33" s="30"/>
      <c r="O33" s="33"/>
      <c r="P33" s="33"/>
      <c r="Q33" s="33"/>
      <c r="R33" s="33"/>
      <c r="S33" s="33"/>
      <c r="T33" s="33"/>
      <c r="U33" s="33"/>
      <c r="V33" s="33"/>
      <c r="W33" s="33"/>
      <c r="X33" s="33"/>
      <c r="Y33" s="33"/>
      <c r="Z33" s="33"/>
      <c r="AA33" s="33"/>
      <c r="AB33" s="33"/>
      <c r="AC33" s="33"/>
    </row>
    <row r="34" spans="1:29" ht="20.25" customHeight="1">
      <c r="A34" s="33"/>
      <c r="B34" s="30"/>
      <c r="C34" s="118"/>
      <c r="D34" s="533"/>
      <c r="E34" s="534"/>
      <c r="F34" s="534"/>
      <c r="G34" s="558" t="s">
        <v>239</v>
      </c>
      <c r="H34" s="556">
        <f>I19</f>
        <v>0</v>
      </c>
      <c r="I34" s="559" t="s">
        <v>241</v>
      </c>
      <c r="J34" s="534"/>
      <c r="K34" s="534"/>
      <c r="L34" s="535"/>
      <c r="M34" s="521"/>
      <c r="N34" s="30"/>
      <c r="O34" s="33"/>
      <c r="P34" s="33"/>
      <c r="Q34" s="33"/>
      <c r="R34" s="33"/>
      <c r="S34" s="33"/>
      <c r="T34" s="33"/>
      <c r="U34" s="33"/>
      <c r="V34" s="33"/>
      <c r="W34" s="33"/>
      <c r="X34" s="33"/>
      <c r="Y34" s="33"/>
      <c r="Z34" s="33"/>
      <c r="AA34" s="33"/>
      <c r="AB34" s="33"/>
      <c r="AC34" s="33"/>
    </row>
    <row r="35" spans="1:29" ht="20.25" customHeight="1">
      <c r="A35" s="33"/>
      <c r="B35" s="30"/>
      <c r="C35" s="118"/>
      <c r="D35" s="533"/>
      <c r="E35" s="534"/>
      <c r="F35" s="534"/>
      <c r="G35" s="534"/>
      <c r="H35" s="534"/>
      <c r="I35" s="534"/>
      <c r="J35" s="534"/>
      <c r="K35" s="534"/>
      <c r="L35" s="535"/>
      <c r="M35" s="521"/>
      <c r="N35" s="30"/>
      <c r="O35" s="33"/>
      <c r="P35" s="33"/>
      <c r="Q35" s="33"/>
      <c r="R35" s="33"/>
      <c r="S35" s="33"/>
      <c r="T35" s="33"/>
      <c r="U35" s="33"/>
      <c r="V35" s="33"/>
      <c r="W35" s="33"/>
      <c r="X35" s="33"/>
      <c r="Y35" s="33"/>
      <c r="Z35" s="33"/>
      <c r="AA35" s="33"/>
      <c r="AB35" s="33"/>
      <c r="AC35" s="33"/>
    </row>
    <row r="36" spans="1:29" ht="20.25" customHeight="1" thickBot="1">
      <c r="A36" s="33"/>
      <c r="B36" s="30"/>
      <c r="C36" s="118"/>
      <c r="D36" s="533"/>
      <c r="E36" s="534"/>
      <c r="F36" s="534"/>
      <c r="G36" s="558" t="s">
        <v>240</v>
      </c>
      <c r="H36" s="557">
        <f>SUM('APTC COST'!S13:S17)</f>
        <v>10735.691794871795</v>
      </c>
      <c r="I36" s="534"/>
      <c r="J36" s="534"/>
      <c r="K36" s="534"/>
      <c r="L36" s="535"/>
      <c r="M36" s="521"/>
      <c r="N36" s="30"/>
      <c r="O36" s="33"/>
      <c r="P36" s="33"/>
      <c r="Q36" s="33"/>
      <c r="R36" s="33"/>
      <c r="S36" s="33"/>
      <c r="T36" s="33"/>
      <c r="U36" s="33"/>
      <c r="V36" s="33"/>
      <c r="W36" s="33"/>
      <c r="X36" s="33"/>
      <c r="Y36" s="33"/>
      <c r="Z36" s="33"/>
      <c r="AA36" s="33"/>
      <c r="AB36" s="33"/>
      <c r="AC36" s="33"/>
    </row>
    <row r="37" spans="1:29" ht="12" customHeight="1">
      <c r="A37" s="33"/>
      <c r="B37" s="30"/>
      <c r="C37" s="118"/>
      <c r="D37" s="533"/>
      <c r="E37" s="534"/>
      <c r="F37" s="534"/>
      <c r="G37" s="550"/>
      <c r="H37" s="553"/>
      <c r="I37" s="534"/>
      <c r="J37" s="534"/>
      <c r="K37" s="534"/>
      <c r="L37" s="535"/>
      <c r="M37" s="521"/>
      <c r="N37" s="30"/>
      <c r="O37" s="33"/>
      <c r="P37" s="33"/>
      <c r="Q37" s="33"/>
      <c r="R37" s="33"/>
      <c r="S37" s="33"/>
      <c r="T37" s="33"/>
      <c r="U37" s="33"/>
      <c r="V37" s="33"/>
      <c r="W37" s="33"/>
      <c r="X37" s="33"/>
      <c r="Y37" s="33"/>
      <c r="Z37" s="33"/>
      <c r="AA37" s="33"/>
      <c r="AB37" s="33"/>
      <c r="AC37" s="33"/>
    </row>
    <row r="38" spans="1:29" ht="20.25" customHeight="1">
      <c r="A38" s="33"/>
      <c r="B38" s="30"/>
      <c r="C38" s="118"/>
      <c r="D38" s="533"/>
      <c r="E38" s="534"/>
      <c r="F38" s="534"/>
      <c r="G38" s="550"/>
      <c r="H38" s="554">
        <f>IF(H36=SUM(H29:H35),"","CALCULATION ERROR.  CHECK FORMULA.")</f>
      </c>
      <c r="I38" s="534"/>
      <c r="J38" s="534"/>
      <c r="K38" s="534"/>
      <c r="L38" s="535"/>
      <c r="M38" s="521"/>
      <c r="N38" s="30"/>
      <c r="O38" s="33"/>
      <c r="P38" s="33"/>
      <c r="Q38" s="33"/>
      <c r="R38" s="33"/>
      <c r="S38" s="33"/>
      <c r="T38" s="33"/>
      <c r="U38" s="33"/>
      <c r="V38" s="33"/>
      <c r="W38" s="33"/>
      <c r="X38" s="33"/>
      <c r="Y38" s="33"/>
      <c r="Z38" s="33"/>
      <c r="AA38" s="33"/>
      <c r="AB38" s="33"/>
      <c r="AC38" s="33"/>
    </row>
    <row r="39" spans="1:29" ht="12" customHeight="1">
      <c r="A39" s="33"/>
      <c r="B39" s="30"/>
      <c r="C39" s="122"/>
      <c r="D39" s="536"/>
      <c r="E39" s="537"/>
      <c r="F39" s="537"/>
      <c r="G39" s="538"/>
      <c r="H39" s="538"/>
      <c r="I39" s="538"/>
      <c r="J39" s="538"/>
      <c r="K39" s="538"/>
      <c r="L39" s="539"/>
      <c r="M39" s="521"/>
      <c r="N39" s="30"/>
      <c r="O39" s="33"/>
      <c r="P39" s="33"/>
      <c r="Q39" s="33"/>
      <c r="R39" s="33"/>
      <c r="S39" s="33"/>
      <c r="T39" s="33"/>
      <c r="U39" s="33"/>
      <c r="V39" s="33"/>
      <c r="W39" s="33"/>
      <c r="X39" s="33"/>
      <c r="Y39" s="33"/>
      <c r="Z39" s="33"/>
      <c r="AA39" s="33"/>
      <c r="AB39" s="33"/>
      <c r="AC39" s="33"/>
    </row>
    <row r="40" spans="1:29" ht="21" customHeight="1">
      <c r="A40" s="33"/>
      <c r="B40" s="30"/>
      <c r="C40" s="122"/>
      <c r="D40" s="123"/>
      <c r="E40" s="123"/>
      <c r="F40" s="123"/>
      <c r="G40" s="123"/>
      <c r="H40" s="123"/>
      <c r="I40" s="123"/>
      <c r="J40" s="123"/>
      <c r="K40" s="123"/>
      <c r="L40" s="123"/>
      <c r="M40" s="521"/>
      <c r="N40" s="30"/>
      <c r="O40" s="33"/>
      <c r="P40" s="33"/>
      <c r="Q40" s="33"/>
      <c r="R40" s="33"/>
      <c r="S40" s="33"/>
      <c r="T40" s="33"/>
      <c r="U40" s="33"/>
      <c r="V40" s="33"/>
      <c r="W40" s="33"/>
      <c r="X40" s="33"/>
      <c r="Y40" s="33"/>
      <c r="Z40" s="33"/>
      <c r="AA40" s="33"/>
      <c r="AB40" s="33"/>
      <c r="AC40" s="33"/>
    </row>
    <row r="41" spans="1:29" ht="17.25" customHeight="1">
      <c r="A41" s="33"/>
      <c r="B41" s="30"/>
      <c r="C41" s="122"/>
      <c r="D41" s="562" t="s">
        <v>234</v>
      </c>
      <c r="E41" s="123"/>
      <c r="F41" s="123"/>
      <c r="G41" s="123"/>
      <c r="H41" s="123"/>
      <c r="I41" s="123"/>
      <c r="J41" s="123"/>
      <c r="K41" s="123"/>
      <c r="L41" s="123"/>
      <c r="M41" s="521"/>
      <c r="N41" s="30"/>
      <c r="O41" s="33"/>
      <c r="P41" s="33"/>
      <c r="Q41" s="33"/>
      <c r="R41" s="33"/>
      <c r="S41" s="33"/>
      <c r="T41" s="33"/>
      <c r="U41" s="33"/>
      <c r="V41" s="33"/>
      <c r="W41" s="33"/>
      <c r="X41" s="33"/>
      <c r="Y41" s="33"/>
      <c r="Z41" s="33"/>
      <c r="AA41" s="33"/>
      <c r="AB41" s="33"/>
      <c r="AC41" s="33"/>
    </row>
    <row r="42" spans="1:29" ht="17.25" customHeight="1">
      <c r="A42" s="33"/>
      <c r="B42" s="30"/>
      <c r="C42" s="122"/>
      <c r="D42" s="123"/>
      <c r="E42" s="123"/>
      <c r="F42" s="123"/>
      <c r="G42" s="123"/>
      <c r="H42" s="123"/>
      <c r="I42" s="123"/>
      <c r="J42" s="123"/>
      <c r="K42" s="123"/>
      <c r="L42" s="123"/>
      <c r="M42" s="521"/>
      <c r="N42" s="30"/>
      <c r="O42" s="33"/>
      <c r="P42" s="33"/>
      <c r="Q42" s="33"/>
      <c r="R42" s="33"/>
      <c r="S42" s="33"/>
      <c r="T42" s="33"/>
      <c r="U42" s="33"/>
      <c r="V42" s="33"/>
      <c r="W42" s="33"/>
      <c r="X42" s="33"/>
      <c r="Y42" s="33"/>
      <c r="Z42" s="33"/>
      <c r="AA42" s="33"/>
      <c r="AB42" s="33"/>
      <c r="AC42" s="33"/>
    </row>
    <row r="43" spans="1:29" ht="18">
      <c r="A43" s="33"/>
      <c r="B43" s="30"/>
      <c r="C43" s="118"/>
      <c r="D43" s="123"/>
      <c r="E43" s="124"/>
      <c r="F43" s="124"/>
      <c r="G43" s="124"/>
      <c r="H43" s="518"/>
      <c r="I43" s="518"/>
      <c r="J43" s="516"/>
      <c r="K43" s="518"/>
      <c r="L43" s="518"/>
      <c r="M43" s="521"/>
      <c r="N43" s="30"/>
      <c r="O43" s="33"/>
      <c r="P43" s="33"/>
      <c r="Q43" s="33"/>
      <c r="R43" s="33"/>
      <c r="S43" s="33"/>
      <c r="T43" s="33"/>
      <c r="U43" s="33"/>
      <c r="V43" s="33"/>
      <c r="W43" s="33"/>
      <c r="X43" s="33"/>
      <c r="Y43" s="33"/>
      <c r="Z43" s="33"/>
      <c r="AA43" s="33"/>
      <c r="AB43" s="33"/>
      <c r="AC43" s="33"/>
    </row>
    <row r="44" spans="1:29" ht="18">
      <c r="A44" s="33"/>
      <c r="B44" s="30"/>
      <c r="C44" s="118"/>
      <c r="D44" s="541" t="s">
        <v>229</v>
      </c>
      <c r="E44" s="1106"/>
      <c r="F44" s="1107"/>
      <c r="G44" s="1107"/>
      <c r="H44" s="1107"/>
      <c r="I44" s="1107"/>
      <c r="J44" s="1107"/>
      <c r="K44" s="1107"/>
      <c r="L44" s="1108"/>
      <c r="M44" s="521"/>
      <c r="N44" s="30"/>
      <c r="O44" s="33"/>
      <c r="P44" s="33"/>
      <c r="Q44" s="33"/>
      <c r="R44" s="33"/>
      <c r="S44" s="33"/>
      <c r="T44" s="33"/>
      <c r="U44" s="33"/>
      <c r="V44" s="33"/>
      <c r="W44" s="33"/>
      <c r="X44" s="33"/>
      <c r="Y44" s="33"/>
      <c r="Z44" s="33"/>
      <c r="AA44" s="33"/>
      <c r="AB44" s="33"/>
      <c r="AC44" s="33"/>
    </row>
    <row r="45" spans="1:29" ht="18">
      <c r="A45" s="33"/>
      <c r="B45" s="30"/>
      <c r="C45" s="118"/>
      <c r="D45" s="549"/>
      <c r="E45" s="1109"/>
      <c r="F45" s="1110"/>
      <c r="G45" s="1110"/>
      <c r="H45" s="1110"/>
      <c r="I45" s="1110"/>
      <c r="J45" s="1110"/>
      <c r="K45" s="1110"/>
      <c r="L45" s="1111"/>
      <c r="M45" s="521"/>
      <c r="N45" s="30"/>
      <c r="O45" s="33"/>
      <c r="P45" s="33"/>
      <c r="Q45" s="33"/>
      <c r="R45" s="33"/>
      <c r="S45" s="33"/>
      <c r="T45" s="33"/>
      <c r="U45" s="33"/>
      <c r="V45" s="33"/>
      <c r="W45" s="33"/>
      <c r="X45" s="33"/>
      <c r="Y45" s="33"/>
      <c r="Z45" s="33"/>
      <c r="AA45" s="33"/>
      <c r="AB45" s="33"/>
      <c r="AC45" s="33"/>
    </row>
    <row r="46" spans="1:29" ht="18">
      <c r="A46" s="33"/>
      <c r="B46" s="30"/>
      <c r="C46" s="118"/>
      <c r="D46" s="542"/>
      <c r="E46" s="1112"/>
      <c r="F46" s="1113"/>
      <c r="G46" s="1113"/>
      <c r="H46" s="1113"/>
      <c r="I46" s="1113"/>
      <c r="J46" s="1113"/>
      <c r="K46" s="1113"/>
      <c r="L46" s="1114"/>
      <c r="M46" s="521"/>
      <c r="N46" s="30"/>
      <c r="O46" s="33"/>
      <c r="P46" s="33"/>
      <c r="Q46" s="33"/>
      <c r="R46" s="33"/>
      <c r="S46" s="33"/>
      <c r="T46" s="33"/>
      <c r="U46" s="33"/>
      <c r="V46" s="33"/>
      <c r="W46" s="33"/>
      <c r="X46" s="33"/>
      <c r="Y46" s="33"/>
      <c r="Z46" s="33"/>
      <c r="AA46" s="33"/>
      <c r="AB46" s="33"/>
      <c r="AC46" s="33"/>
    </row>
    <row r="47" spans="1:29" ht="18">
      <c r="A47" s="33"/>
      <c r="B47" s="30"/>
      <c r="C47" s="118"/>
      <c r="D47" s="123"/>
      <c r="E47" s="123"/>
      <c r="F47" s="123"/>
      <c r="G47" s="123"/>
      <c r="H47" s="123"/>
      <c r="I47" s="123"/>
      <c r="J47" s="123"/>
      <c r="K47" s="123"/>
      <c r="L47" s="123"/>
      <c r="M47" s="521"/>
      <c r="N47" s="30"/>
      <c r="O47" s="33"/>
      <c r="P47" s="33"/>
      <c r="Q47" s="33"/>
      <c r="R47" s="33"/>
      <c r="S47" s="33"/>
      <c r="T47" s="33"/>
      <c r="U47" s="33"/>
      <c r="V47" s="33"/>
      <c r="W47" s="33"/>
      <c r="X47" s="33"/>
      <c r="Y47" s="33"/>
      <c r="Z47" s="33"/>
      <c r="AA47" s="33"/>
      <c r="AB47" s="33"/>
      <c r="AC47" s="33"/>
    </row>
    <row r="48" spans="1:29" ht="18">
      <c r="A48" s="33"/>
      <c r="B48" s="30"/>
      <c r="C48" s="118"/>
      <c r="D48" s="123"/>
      <c r="E48" s="124"/>
      <c r="F48" s="124"/>
      <c r="G48" s="124"/>
      <c r="H48" s="518"/>
      <c r="I48" s="518"/>
      <c r="J48" s="516"/>
      <c r="K48" s="518"/>
      <c r="L48" s="518"/>
      <c r="M48" s="521"/>
      <c r="N48" s="30"/>
      <c r="O48" s="33"/>
      <c r="P48" s="33"/>
      <c r="Q48" s="33"/>
      <c r="R48" s="33"/>
      <c r="S48" s="33"/>
      <c r="T48" s="33"/>
      <c r="U48" s="33"/>
      <c r="V48" s="33"/>
      <c r="W48" s="33"/>
      <c r="X48" s="33"/>
      <c r="Y48" s="33"/>
      <c r="Z48" s="33"/>
      <c r="AA48" s="33"/>
      <c r="AB48" s="33"/>
      <c r="AC48" s="33"/>
    </row>
    <row r="49" spans="1:29" ht="18">
      <c r="A49" s="33"/>
      <c r="B49" s="30"/>
      <c r="C49" s="118"/>
      <c r="D49" s="519" t="s">
        <v>230</v>
      </c>
      <c r="E49" s="740" t="s">
        <v>326</v>
      </c>
      <c r="F49" s="739"/>
      <c r="G49" s="543"/>
      <c r="H49" s="544"/>
      <c r="I49" s="520" t="s">
        <v>231</v>
      </c>
      <c r="J49" s="611"/>
      <c r="K49" s="529"/>
      <c r="L49" s="529"/>
      <c r="M49" s="521"/>
      <c r="N49" s="30"/>
      <c r="O49" s="33"/>
      <c r="P49" s="33"/>
      <c r="Q49" s="33"/>
      <c r="R49" s="33"/>
      <c r="S49" s="33"/>
      <c r="T49" s="33"/>
      <c r="U49" s="33"/>
      <c r="V49" s="33"/>
      <c r="W49" s="33"/>
      <c r="X49" s="33"/>
      <c r="Y49" s="33"/>
      <c r="Z49" s="33"/>
      <c r="AA49" s="33"/>
      <c r="AB49" s="33"/>
      <c r="AC49" s="33"/>
    </row>
    <row r="50" spans="1:29" ht="30" customHeight="1">
      <c r="A50" s="33"/>
      <c r="B50" s="30"/>
      <c r="C50" s="118"/>
      <c r="D50" s="544"/>
      <c r="E50" s="544"/>
      <c r="F50" s="544"/>
      <c r="G50" s="544"/>
      <c r="H50" s="544"/>
      <c r="I50" s="544"/>
      <c r="J50" s="544"/>
      <c r="K50" s="544"/>
      <c r="L50" s="544"/>
      <c r="M50" s="521"/>
      <c r="N50" s="30"/>
      <c r="O50" s="33"/>
      <c r="P50" s="33"/>
      <c r="Q50" s="33"/>
      <c r="R50" s="33"/>
      <c r="S50" s="33"/>
      <c r="T50" s="33"/>
      <c r="U50" s="33"/>
      <c r="V50" s="33"/>
      <c r="W50" s="33"/>
      <c r="X50" s="33"/>
      <c r="Y50" s="33"/>
      <c r="Z50" s="33"/>
      <c r="AA50" s="33"/>
      <c r="AB50" s="33"/>
      <c r="AC50" s="33"/>
    </row>
    <row r="51" spans="1:29" ht="18">
      <c r="A51" s="33"/>
      <c r="B51" s="30"/>
      <c r="C51" s="118"/>
      <c r="D51" s="519"/>
      <c r="E51" s="612"/>
      <c r="F51" s="612"/>
      <c r="G51" s="612"/>
      <c r="H51" s="544"/>
      <c r="I51" s="519" t="s">
        <v>232</v>
      </c>
      <c r="J51" s="548">
        <f ca="1">NOW()</f>
        <v>38661.583044328705</v>
      </c>
      <c r="L51" s="544"/>
      <c r="M51" s="521"/>
      <c r="N51" s="30"/>
      <c r="O51" s="33"/>
      <c r="P51" s="33"/>
      <c r="Q51" s="33"/>
      <c r="R51" s="33"/>
      <c r="S51" s="33"/>
      <c r="T51" s="33"/>
      <c r="U51" s="33"/>
      <c r="V51" s="33"/>
      <c r="W51" s="33"/>
      <c r="X51" s="33"/>
      <c r="Y51" s="33"/>
      <c r="Z51" s="33"/>
      <c r="AA51" s="33"/>
      <c r="AB51" s="33"/>
      <c r="AC51" s="33"/>
    </row>
    <row r="52" spans="1:29" ht="30" customHeight="1">
      <c r="A52" s="33"/>
      <c r="B52" s="30"/>
      <c r="C52" s="118"/>
      <c r="D52" s="544"/>
      <c r="E52" s="544"/>
      <c r="F52" s="544"/>
      <c r="G52" s="544"/>
      <c r="H52" s="544"/>
      <c r="I52" s="544"/>
      <c r="J52" s="544"/>
      <c r="K52" s="544"/>
      <c r="L52" s="544"/>
      <c r="M52" s="521"/>
      <c r="N52" s="30"/>
      <c r="O52" s="33"/>
      <c r="P52" s="33"/>
      <c r="Q52" s="33"/>
      <c r="R52" s="33"/>
      <c r="S52" s="33"/>
      <c r="T52" s="33"/>
      <c r="U52" s="33"/>
      <c r="V52" s="33"/>
      <c r="W52" s="33"/>
      <c r="X52" s="33"/>
      <c r="Y52" s="33"/>
      <c r="Z52" s="33"/>
      <c r="AA52" s="33"/>
      <c r="AB52" s="33"/>
      <c r="AC52" s="33"/>
    </row>
    <row r="53" spans="1:29" ht="18">
      <c r="A53" s="33"/>
      <c r="B53" s="30"/>
      <c r="C53" s="118"/>
      <c r="D53" s="545"/>
      <c r="E53" s="545"/>
      <c r="H53" s="519" t="s">
        <v>233</v>
      </c>
      <c r="I53" s="582" t="str">
        <f>$H$7</f>
        <v>SELECT SCHOOL NAME FROM LIST</v>
      </c>
      <c r="J53" s="546"/>
      <c r="K53" s="547"/>
      <c r="L53" s="544"/>
      <c r="M53" s="521"/>
      <c r="N53" s="30"/>
      <c r="O53" s="33"/>
      <c r="P53" s="33"/>
      <c r="Q53" s="33"/>
      <c r="R53" s="33"/>
      <c r="S53" s="33"/>
      <c r="T53" s="33"/>
      <c r="U53" s="33"/>
      <c r="V53" s="33"/>
      <c r="W53" s="33"/>
      <c r="X53" s="33"/>
      <c r="Y53" s="33"/>
      <c r="Z53" s="33"/>
      <c r="AA53" s="33"/>
      <c r="AB53" s="33"/>
      <c r="AC53" s="33"/>
    </row>
    <row r="54" spans="1:29" ht="18.75" thickBot="1">
      <c r="A54" s="33"/>
      <c r="B54" s="30"/>
      <c r="C54" s="522"/>
      <c r="D54" s="523"/>
      <c r="E54" s="524"/>
      <c r="F54" s="524"/>
      <c r="G54" s="524"/>
      <c r="H54" s="524"/>
      <c r="I54" s="524"/>
      <c r="J54" s="524"/>
      <c r="K54" s="524"/>
      <c r="L54" s="524"/>
      <c r="M54" s="525"/>
      <c r="N54" s="32"/>
      <c r="O54" s="33"/>
      <c r="P54" s="33"/>
      <c r="Q54" s="33"/>
      <c r="R54" s="33"/>
      <c r="S54" s="33"/>
      <c r="T54" s="33"/>
      <c r="U54" s="33"/>
      <c r="V54" s="33"/>
      <c r="W54" s="33"/>
      <c r="X54" s="33"/>
      <c r="Y54" s="33"/>
      <c r="Z54" s="33"/>
      <c r="AA54" s="33"/>
      <c r="AB54" s="33"/>
      <c r="AC54" s="33"/>
    </row>
    <row r="55" spans="1:29" ht="4.5" customHeight="1">
      <c r="A55" s="33"/>
      <c r="B55" s="30"/>
      <c r="C55" s="513"/>
      <c r="D55" s="30"/>
      <c r="E55" s="30"/>
      <c r="F55" s="30"/>
      <c r="G55" s="30"/>
      <c r="H55" s="30"/>
      <c r="I55" s="30"/>
      <c r="J55" s="30"/>
      <c r="K55" s="30"/>
      <c r="L55" s="30"/>
      <c r="M55" s="30"/>
      <c r="N55" s="30"/>
      <c r="O55" s="33"/>
      <c r="P55" s="33"/>
      <c r="Q55" s="33"/>
      <c r="R55" s="33"/>
      <c r="S55" s="33"/>
      <c r="T55" s="33"/>
      <c r="U55" s="33"/>
      <c r="V55" s="33"/>
      <c r="W55" s="33"/>
      <c r="X55" s="33"/>
      <c r="Y55" s="33"/>
      <c r="Z55" s="33"/>
      <c r="AA55" s="33"/>
      <c r="AB55" s="33"/>
      <c r="AC55" s="33"/>
    </row>
    <row r="56" spans="1:29" ht="1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row>
    <row r="57" spans="1:29" ht="1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row>
    <row r="58" spans="1:29" ht="1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row>
    <row r="59" spans="1:29" ht="1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row>
    <row r="60" spans="1:29" ht="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row>
    <row r="61" spans="1:29" ht="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row>
    <row r="62" spans="1:29" ht="1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row>
    <row r="63" spans="1:29" ht="1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row>
    <row r="64" spans="1:29" ht="1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row>
    <row r="65" spans="1:29" ht="1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row>
    <row r="66" spans="1:29" ht="1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row>
    <row r="67" spans="1:29" ht="1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row>
    <row r="68" spans="1:29" ht="1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row>
    <row r="69" spans="1:29" ht="1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row>
    <row r="70" spans="1:29" ht="1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row>
    <row r="71" spans="1:29" ht="1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row>
    <row r="72" spans="1:29" ht="1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row>
    <row r="73" spans="1:29" ht="1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row>
    <row r="74" spans="1:29" ht="1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row>
    <row r="75" spans="1:29" ht="1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row>
    <row r="76" spans="1:29" ht="1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row>
    <row r="77" spans="1:29" ht="1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row>
    <row r="78" spans="1:29" ht="1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row>
    <row r="79" spans="1:29" ht="1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row>
    <row r="80" spans="1:29" ht="1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row>
    <row r="81" spans="1:29" ht="1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row>
    <row r="82" spans="1:29" ht="1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row>
    <row r="83" spans="1:29" ht="1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row>
    <row r="84" spans="1:29" ht="1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row>
    <row r="85" spans="1:29" ht="1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row>
    <row r="86" spans="1:29" ht="1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row>
    <row r="87" spans="1:29" ht="1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row>
    <row r="88" spans="1:29" ht="1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row>
    <row r="89" spans="1:29" ht="1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row>
    <row r="90" spans="1:29" ht="1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row>
    <row r="91" spans="1:29" ht="1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row>
    <row r="92" spans="1:29" ht="1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row>
    <row r="93" spans="1:29" ht="1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row>
    <row r="94" spans="1:29" ht="1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row>
    <row r="95" spans="1:29" ht="1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row>
  </sheetData>
  <sheetProtection password="DD49" sheet="1" objects="1" scenarios="1"/>
  <mergeCells count="6">
    <mergeCell ref="I1:M1"/>
    <mergeCell ref="C1:D1"/>
    <mergeCell ref="E44:L46"/>
    <mergeCell ref="J13:L13"/>
    <mergeCell ref="E13:G13"/>
    <mergeCell ref="F5:J5"/>
  </mergeCells>
  <dataValidations count="8">
    <dataValidation type="custom" allowBlank="1" showInputMessage="1" showErrorMessage="1" errorTitle="FIXED SYMBOL" sqref="C3">
      <formula1>"NO CHANGE REQUIRED"</formula1>
    </dataValidation>
    <dataValidation type="custom" allowBlank="1" showInputMessage="1" showErrorMessage="1" errorTitle="COPYRIGHT PROTECTION!" error="&#10;Tampering with this cell puts you in breach of copyright laws.&#10;&#10;Click 'Cancel' to end." sqref="N54">
      <formula1>"COPYRIGHT PROTECTION"</formula1>
    </dataValidation>
    <dataValidation allowBlank="1" showInputMessage="1" showErrorMessage="1" promptTitle="ENTRY FIELD" prompt="&#10;Make an appropriate entry in this cell as per the title to the left." sqref="E13 J13"/>
    <dataValidation type="custom" allowBlank="1" showInputMessage="1" showErrorMessage="1" sqref="H53 I51:J51">
      <formula1>"NO CHANGE ADVISED"</formula1>
    </dataValidation>
    <dataValidation allowBlank="1" showInputMessage="1" showErrorMessage="1" promptTitle="ENTRY FIELD" prompt="&#10;Overtype this cell with the name of your Local Education Authority." sqref="F5:J5"/>
    <dataValidation type="custom" allowBlank="1" showInputMessage="1" showErrorMessage="1" sqref="H7">
      <formula1>"NO CHANGE"</formula1>
    </dataValidation>
    <dataValidation allowBlank="1" showInputMessage="1" showErrorMessage="1" promptTitle="REFER TO 'TERMS OF USE' PAGE " prompt="&#10;The organisation name should be entered on the 'Terms of Use page." sqref="I53"/>
    <dataValidation allowBlank="1" showInputMessage="1" showErrorMessage="1" promptTitle="ENTRY FIELD" prompt="&#10;The person preparing this statement should enter their name here for reference." sqref="E49"/>
  </dataValidations>
  <hyperlinks>
    <hyperlink ref="I1:M1" location="'APTC COST'!A1" tooltip="Go to APTC staff salary costing sheet" display="COST APTC STAFF SALARY"/>
    <hyperlink ref="F1" location="INDEX!A1" tooltip="Go to Index" display="INDEX"/>
  </hyperlinks>
  <printOptions/>
  <pageMargins left="0.35433070866141736" right="0.15748031496062992" top="0.3937007874015748" bottom="0.7874015748031497" header="0.5118110236220472" footer="0.5118110236220472"/>
  <pageSetup blackAndWhite="1" fitToHeight="1" fitToWidth="1"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Llewellyn</dc:creator>
  <cp:keywords/>
  <dc:description/>
  <cp:lastModifiedBy>clle</cp:lastModifiedBy>
  <cp:lastPrinted>2005-10-07T08:11:50Z</cp:lastPrinted>
  <dcterms:created xsi:type="dcterms:W3CDTF">1998-11-23T09:13:53Z</dcterms:created>
  <dcterms:modified xsi:type="dcterms:W3CDTF">2005-11-05T13:59:45Z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